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Mes documents\Livre_Books\SiteInternet\"/>
    </mc:Choice>
  </mc:AlternateContent>
  <bookViews>
    <workbookView xWindow="0" yWindow="0" windowWidth="16380" windowHeight="8196" tabRatio="500" activeTab="1"/>
  </bookViews>
  <sheets>
    <sheet name="Energy" sheetId="2" r:id="rId1"/>
    <sheet name="Extra info." sheetId="3" r:id="rId2"/>
    <sheet name="GDP EU" sheetId="4" r:id="rId3"/>
  </sheets>
  <calcPr calcId="152511"/>
</workbook>
</file>

<file path=xl/calcChain.xml><?xml version="1.0" encoding="utf-8"?>
<calcChain xmlns="http://schemas.openxmlformats.org/spreadsheetml/2006/main">
  <c r="R2" i="4" l="1"/>
  <c r="O3" i="4"/>
  <c r="B116" i="3" l="1"/>
  <c r="E119" i="3" s="1"/>
  <c r="B119" i="3"/>
  <c r="C117" i="3"/>
  <c r="D110" i="3" l="1"/>
  <c r="D109" i="3"/>
  <c r="E110" i="3" s="1"/>
  <c r="E111" i="3" s="1"/>
  <c r="C109" i="3"/>
  <c r="D100" i="3" l="1"/>
  <c r="C102" i="3" s="1"/>
  <c r="B95" i="3"/>
  <c r="C94" i="3"/>
  <c r="C97" i="3" s="1"/>
  <c r="D89" i="3" l="1"/>
  <c r="B89" i="3"/>
  <c r="D54" i="2" l="1"/>
  <c r="J35" i="4" l="1"/>
  <c r="K35" i="4"/>
  <c r="J36" i="4"/>
  <c r="K36" i="4"/>
  <c r="F69" i="3" l="1"/>
  <c r="B42" i="3"/>
  <c r="L35" i="4" l="1"/>
  <c r="L36" i="4" l="1"/>
  <c r="E57" i="2"/>
  <c r="C74" i="3"/>
  <c r="C77" i="3" s="1"/>
  <c r="M36" i="4" l="1"/>
  <c r="E55" i="2"/>
  <c r="B67" i="3"/>
  <c r="D67" i="3" l="1"/>
  <c r="C116" i="2"/>
  <c r="C129" i="2" l="1"/>
  <c r="C130" i="2" l="1"/>
  <c r="D129" i="2"/>
  <c r="B29" i="3"/>
  <c r="B112" i="2" l="1"/>
  <c r="B113" i="2"/>
  <c r="D113" i="2" l="1"/>
  <c r="D111" i="2"/>
  <c r="F111" i="2" s="1"/>
  <c r="F110" i="2"/>
  <c r="G110" i="2" s="1"/>
  <c r="G113" i="2" l="1"/>
  <c r="G38" i="3" l="1"/>
  <c r="F74" i="2" l="1"/>
  <c r="F72" i="2"/>
  <c r="F73" i="2"/>
  <c r="E62" i="2"/>
  <c r="E63" i="2"/>
  <c r="E64" i="2"/>
  <c r="E65" i="2"/>
  <c r="E66" i="2"/>
  <c r="E67" i="2"/>
  <c r="B68" i="2" l="1"/>
  <c r="F75" i="2"/>
  <c r="E53" i="2" s="1"/>
  <c r="E54" i="2" l="1"/>
  <c r="E43" i="2"/>
  <c r="C31" i="2"/>
  <c r="D31" i="2" s="1"/>
  <c r="E30" i="2"/>
  <c r="E25" i="2"/>
  <c r="E24" i="2"/>
  <c r="E23" i="2"/>
  <c r="E22" i="2"/>
  <c r="E21" i="2"/>
  <c r="E20" i="2"/>
  <c r="E14" i="2"/>
  <c r="C12" i="2"/>
  <c r="C11" i="2"/>
  <c r="D11" i="2" s="1"/>
  <c r="C10" i="2"/>
  <c r="D10" i="2" s="1"/>
  <c r="G37" i="3" s="1"/>
  <c r="C9" i="2"/>
  <c r="D9" i="2" s="1"/>
  <c r="C8" i="2"/>
  <c r="D8" i="2" l="1"/>
  <c r="E26" i="2"/>
  <c r="B12" i="2" s="1"/>
  <c r="D12" i="2" s="1"/>
  <c r="D13" i="2"/>
  <c r="C32" i="2"/>
  <c r="D32" i="2" s="1"/>
  <c r="D33" i="2" s="1"/>
  <c r="C13" i="2"/>
  <c r="D14" i="2" l="1"/>
  <c r="D116" i="2" l="1"/>
  <c r="D94" i="3"/>
  <c r="D16" i="2"/>
  <c r="F76" i="2" s="1"/>
  <c r="D112" i="2" s="1"/>
  <c r="G112" i="2" s="1"/>
  <c r="C37" i="2"/>
  <c r="C48" i="2" s="1"/>
  <c r="C39" i="2" l="1"/>
  <c r="F39" i="2" s="1"/>
  <c r="C42" i="2"/>
  <c r="D42" i="2"/>
  <c r="C38" i="2"/>
  <c r="E39" i="2" l="1"/>
  <c r="C40" i="2"/>
  <c r="C41" i="2" s="1"/>
  <c r="E42" i="2"/>
  <c r="C50" i="2"/>
  <c r="E50" i="2" s="1"/>
  <c r="C49" i="2"/>
  <c r="E38" i="2"/>
  <c r="F38" i="2"/>
  <c r="E40" i="2" l="1"/>
  <c r="E41" i="2" s="1"/>
  <c r="E44" i="2" s="1"/>
  <c r="F78" i="2" s="1"/>
  <c r="F50" i="2"/>
  <c r="C51" i="2"/>
  <c r="C52" i="2" s="1"/>
  <c r="F49" i="2"/>
  <c r="E49" i="2"/>
  <c r="E51" i="2" s="1"/>
  <c r="E52" i="2" s="1"/>
  <c r="E56" i="2" s="1"/>
</calcChain>
</file>

<file path=xl/sharedStrings.xml><?xml version="1.0" encoding="utf-8"?>
<sst xmlns="http://schemas.openxmlformats.org/spreadsheetml/2006/main" count="427" uniqueCount="407">
  <si>
    <t>MW/km2</t>
  </si>
  <si>
    <t>www.iipinetwork.org/wp-content/Ietd/content/electric-arc-furnace.html</t>
  </si>
  <si>
    <t>www.brighthubengineering.com/power-plants/72369-compare-the-efficiency-of-different-power-plants/</t>
  </si>
  <si>
    <t>11000m²</t>
  </si>
  <si>
    <t>Rendement estimé</t>
  </si>
  <si>
    <t>https://energyvault.com/</t>
  </si>
  <si>
    <t>Notes</t>
  </si>
  <si>
    <t>https://atb.nrel.gov/electricity/2020/data.php</t>
  </si>
  <si>
    <t xml:space="preserve">       </t>
  </si>
  <si>
    <t xml:space="preserve">     </t>
  </si>
  <si>
    <t>Commentaire</t>
  </si>
  <si>
    <t>Source / Commentaire</t>
  </si>
  <si>
    <t>30-150 j.</t>
  </si>
  <si>
    <t>(Economist sept.19th 2020 "World source institute")</t>
  </si>
  <si>
    <t>http://www.hubspeicher.de/kostenbeispiele.htm</t>
  </si>
  <si>
    <t>CAPEX 2030 €/kW</t>
  </si>
  <si>
    <t>CAPEX 2050 €/kW</t>
  </si>
  <si>
    <t>kWh</t>
  </si>
  <si>
    <t>fonctionne h par an</t>
  </si>
  <si>
    <t>CAPEX €/kW  2020</t>
  </si>
  <si>
    <t>durée de vie années</t>
  </si>
  <si>
    <t>33 =&gt; 23</t>
  </si>
  <si>
    <t>OPEX €/kg H2 2020</t>
  </si>
  <si>
    <t>OPEX €/kg H2 2030</t>
  </si>
  <si>
    <t>CAPEX €/kW  2030</t>
  </si>
  <si>
    <t>millions €</t>
  </si>
  <si>
    <t>Selon l'IEA, les investissements en énergie verte devraient augmenter de 1200 milliards par an pour limiter rechauffement à 2°C.</t>
  </si>
  <si>
    <t>https://www.sciencedirect.com/topics/engineering/hydrogen-production-cost</t>
  </si>
  <si>
    <t>kWh/kg H2</t>
  </si>
  <si>
    <t>https://www.energy.gov/eere/fuelcells/doe-technical-targets-hydrogen-production-electrolysis</t>
  </si>
  <si>
    <t>$/kWh</t>
  </si>
  <si>
    <t>$/kg H2</t>
  </si>
  <si>
    <t>Papier et pulpe à papier</t>
  </si>
  <si>
    <t>https://energieplus-lesite.be/theories/chauffage11/rendement-d-une-chaudiere/</t>
  </si>
  <si>
    <t>http://needtoknow.nas.edu/energy/energy-efficiency/industrial-efficiency/</t>
  </si>
  <si>
    <t>http://www.isd-engineering.com</t>
  </si>
  <si>
    <t>https://www.centralbanking.com/central-banks/economics/4738011/the-cost-of-decarbonisation</t>
  </si>
  <si>
    <t>page 2/6</t>
  </si>
  <si>
    <t>page 3/6</t>
  </si>
  <si>
    <t>page 4/6</t>
  </si>
  <si>
    <t>page 6/6</t>
  </si>
  <si>
    <t>page 5/6</t>
  </si>
  <si>
    <t>https://energypost.eu/10-carbon-capture-methods-compared-costs-scalability-permanence-cleanness/</t>
  </si>
  <si>
    <t>Our estimates show that at the top end, over 10 billion tonnes of CO2 (GtCO2) a year could be utilised – compared to global emissions of 40GtCO2 – for less than $100 per tonne.</t>
  </si>
  <si>
    <t>Conclusion energypost.eu</t>
  </si>
  <si>
    <t>1TWh = 1 000 000MWh</t>
  </si>
  <si>
    <t>https://cornucopia.cornubot.se/2019/02/internet-drar-10-av-varldens.html</t>
  </si>
  <si>
    <t>www.hydropower.org/sites/default/files/publications-docs/the_worlds_water_battery_-_pumped_storage_and_the_clean_energy_transition_2.pdf</t>
  </si>
  <si>
    <t>Total</t>
  </si>
  <si>
    <t>Equivalent watts</t>
  </si>
  <si>
    <t>Zurich Netto-Null Grundlagenbericht S.130 (3.-6.)</t>
  </si>
  <si>
    <t>Zurich Netto-Null Grundlagenbericht S.97 (1. + 3. + 5.)</t>
  </si>
  <si>
    <t>Zurich Netto-Null Grundlagenbericht S.153</t>
  </si>
  <si>
    <t>http://www.journal-eolien.org/tout-sur-l-eolien/la-production-d-electricite-eolienne/</t>
  </si>
  <si>
    <t>https://www.observatoire-climat-energie.fr/energie/consommation-denergie/energies-fossiles/</t>
  </si>
  <si>
    <t>Milliards €</t>
  </si>
  <si>
    <t>https://www.economist.com/europe/2021/05/15/plentiful-renewable-energy-is-opening-up-a-new-industrial-frontier</t>
  </si>
  <si>
    <t>Primary fossil energy is thermal energy from coal, oil or gas as it came out of the earth, without refining and transport.</t>
  </si>
  <si>
    <t>Fossil energy by sector</t>
  </si>
  <si>
    <t>Total fossil energy in TWh</t>
  </si>
  <si>
    <t>prim/seco factor</t>
  </si>
  <si>
    <t>primary TWh</t>
  </si>
  <si>
    <t>secondary  TWh</t>
  </si>
  <si>
    <t>% second. Consumed</t>
  </si>
  <si>
    <t>Energy</t>
  </si>
  <si>
    <t>Energy used in buildings</t>
  </si>
  <si>
    <t>Transportation, elect.motors Li-Ion bat.</t>
  </si>
  <si>
    <t>Transport using hydrogene (electrolysis)</t>
  </si>
  <si>
    <t>Construction material (concrete, tar)</t>
  </si>
  <si>
    <t>Other industries</t>
  </si>
  <si>
    <t>Electricity utilities using fossil energy</t>
  </si>
  <si>
    <t>Total secondary carbon free energy</t>
  </si>
  <si>
    <t>Energy production for 30h of storage</t>
  </si>
  <si>
    <t>Bloomberg NEO 2020 Executive Message, point 7, estimates elec.needs of 100000 TWh</t>
  </si>
  <si>
    <t>Electrolysis + hydrogen compression + engine fuel cell efficiency =35%; ADEME 2020</t>
  </si>
  <si>
    <t>Electric motor with battery storage  = half the losses of thermal motor</t>
  </si>
  <si>
    <t>Without nuclear, hydro or other renewables</t>
  </si>
  <si>
    <t>Weighted factor</t>
  </si>
  <si>
    <t>Chemical industry</t>
  </si>
  <si>
    <t>% per industry</t>
  </si>
  <si>
    <t>see also IEA 2015</t>
  </si>
  <si>
    <r>
      <t xml:space="preserve">Steel industry </t>
    </r>
    <r>
      <rPr>
        <b/>
        <sz val="11"/>
        <color rgb="FF000000"/>
        <rFont val="Calibri"/>
        <family val="2"/>
      </rPr>
      <t>(1)</t>
    </r>
  </si>
  <si>
    <r>
      <t xml:space="preserve">Non-ferrous minerals </t>
    </r>
    <r>
      <rPr>
        <b/>
        <sz val="11"/>
        <color rgb="FF000000"/>
        <rFont val="Calibri"/>
        <family val="2"/>
      </rPr>
      <t>(2)</t>
    </r>
  </si>
  <si>
    <t>Daily reserves 24h + seasonal reserves 6h per day = 30h. (no seasons near equator)</t>
  </si>
  <si>
    <t>Non-ferrous metals</t>
  </si>
  <si>
    <t>Other processes using fossil fuels</t>
  </si>
  <si>
    <t>plastics, fertilizer, …</t>
  </si>
  <si>
    <t>Factor "other industries"</t>
  </si>
  <si>
    <t>see note (2) below</t>
  </si>
  <si>
    <t>Total electricity production TWh 2019</t>
  </si>
  <si>
    <t>From fossil fuels 64%</t>
  </si>
  <si>
    <t>nuclear + hydro + rennewables</t>
  </si>
  <si>
    <t>Total secondary electricity TWh</t>
  </si>
  <si>
    <t>Existing nuclear power plants are not replaced and their lifespan can be extended by at least 20 years</t>
  </si>
  <si>
    <t>Peak / average</t>
  </si>
  <si>
    <t>Installed capacity (TW)</t>
  </si>
  <si>
    <t>Invest. watt installed</t>
  </si>
  <si>
    <t>CAPEX Billion euros</t>
  </si>
  <si>
    <t>Surface km²  Number</t>
  </si>
  <si>
    <t>Comments</t>
  </si>
  <si>
    <t>for 1 MW peak capacity</t>
  </si>
  <si>
    <t>MW per wind turbine</t>
  </si>
  <si>
    <t>MW per km2</t>
  </si>
  <si>
    <t>En France, facteur is 0,11</t>
  </si>
  <si>
    <r>
      <t xml:space="preserve">Wind turbine   1/3  </t>
    </r>
    <r>
      <rPr>
        <b/>
        <sz val="11"/>
        <color rgb="FF000000"/>
        <rFont val="Calibri"/>
        <family val="2"/>
      </rPr>
      <t>(9)</t>
    </r>
  </si>
  <si>
    <r>
      <t xml:space="preserve">Photovoltaic  2/3   </t>
    </r>
    <r>
      <rPr>
        <b/>
        <sz val="11"/>
        <color rgb="FF000000"/>
        <rFont val="Calibri"/>
        <family val="2"/>
      </rPr>
      <t>(4)</t>
    </r>
  </si>
  <si>
    <t>Installation renewables TWh 24h/24h</t>
  </si>
  <si>
    <t>Invest. production renewables</t>
  </si>
  <si>
    <t>Invest. losses for storage stockage</t>
  </si>
  <si>
    <t>Investissement storage TWh</t>
  </si>
  <si>
    <t>Invest. Infrastructure 30 years</t>
  </si>
  <si>
    <t>1600 billion per year. See The Economist, 23 mai 2020, page 50</t>
  </si>
  <si>
    <r>
      <t xml:space="preserve">Wind turbine   2/3  </t>
    </r>
    <r>
      <rPr>
        <b/>
        <sz val="11"/>
        <color rgb="FF000000"/>
        <rFont val="Calibri"/>
        <family val="2"/>
      </rPr>
      <t>(9)</t>
    </r>
  </si>
  <si>
    <r>
      <t xml:space="preserve">Photovoltaic  1/3   </t>
    </r>
    <r>
      <rPr>
        <b/>
        <sz val="11"/>
        <color rgb="FF000000"/>
        <rFont val="Calibri"/>
        <family val="2"/>
      </rPr>
      <t>(5)</t>
    </r>
  </si>
  <si>
    <t>1MW peak</t>
  </si>
  <si>
    <t>MW/wind turbine</t>
  </si>
  <si>
    <t>€/kWh = billions €/TWh</t>
  </si>
  <si>
    <t>Invest. Production hydrogene</t>
  </si>
  <si>
    <t>CAPEX Union Européenne (billion €)</t>
  </si>
  <si>
    <r>
      <t xml:space="preserve">(1) </t>
    </r>
    <r>
      <rPr>
        <sz val="11"/>
        <color rgb="FF000000"/>
        <rFont val="Calibri"/>
        <family val="2"/>
        <charset val="1"/>
      </rPr>
      <t>Without fossil fuels, steel can be made in electric arc furnaces with recycled steel and iron. It takes 475kWh for 1t of steel from recycled iron. Arc furnaces, by adding hydrogen, can produce steel from ores. For example, in Luela in a pilot plant, the Swedish company SSAB produces steel almost without producing CO2 by using hydrogen. Hydrogen is produced by electrolysis and electricity from renewable energies. But in 2019, 70% of steel is produced from ores with coal. To produce one ton of steel from ores, it takes 770kg of coal in an oxygen furnace. Producing steel from recycled iron consumes 5 times less energy than from ores.</t>
    </r>
  </si>
  <si>
    <r>
      <t xml:space="preserve">(2) </t>
    </r>
    <r>
      <rPr>
        <sz val="11"/>
        <color rgb="FF000000"/>
        <rFont val="Calibri"/>
        <family val="2"/>
      </rPr>
      <t>Without fossil fuels, making ceramics, glass, porcelain, bricks, ... needs temperatures equal or above to 900°C, which can be reached with hydrogen, which is produced with a yield of 60%. This poor performance partially cancels out the gains made elsewhere.</t>
    </r>
  </si>
  <si>
    <r>
      <rPr>
        <b/>
        <sz val="11"/>
        <color rgb="FF000000"/>
        <rFont val="Calibri"/>
        <family val="2"/>
      </rPr>
      <t>(3)</t>
    </r>
    <r>
      <rPr>
        <sz val="11"/>
        <color rgb="FF000000"/>
        <rFont val="Calibri"/>
        <family val="2"/>
      </rPr>
      <t xml:space="preserve"> Storage of hydrogen in old natural gas sites for seasonal reserves or at least for a few weeks.
As the storage time of one day is very short, it is assumed that the batteries of parked electric cars can at least cover peak consumption at noon and in the early evening.</t>
    </r>
  </si>
  <si>
    <r>
      <rPr>
        <b/>
        <sz val="11"/>
        <color rgb="FF000000"/>
        <rFont val="Calibri"/>
        <family val="2"/>
      </rPr>
      <t>(4)</t>
    </r>
    <r>
      <rPr>
        <sz val="11"/>
        <color rgb="FF000000"/>
        <rFont val="Calibri"/>
        <family val="2"/>
      </rPr>
      <t xml:space="preserve"> The IEA estimates that by 2050 in the world, one third of the renewable energies installed will be wind turbines and two thirds photovoltaic. For the countries north of the Alps, more wind power is needed because it produces more in winter, otherwise it would be necessary to produce three times as much in summer, increasing CAPEX. The conversion factor 0.15 is an average over the whole planet.</t>
    </r>
  </si>
  <si>
    <t>GDP EU = 19% of world GDP; Import balance adds 15% grey energy</t>
  </si>
  <si>
    <r>
      <t xml:space="preserve">(8) </t>
    </r>
    <r>
      <rPr>
        <sz val="11"/>
        <color rgb="FF000000"/>
        <rFont val="Calibri"/>
        <family val="2"/>
      </rPr>
      <t>In 2018, the volume of pump-storage hydropower around the world reached almost 9TWh. Our calculations assume that this volume will eventually be multiplied by 10 to reach 85TWh. But in Europe, the storage volume has only increased by 20% in 20 years since 2001. Hydropower.org plans new storage means for 3.1TWh between 2021 and 2030. This will increase storage capacity from 9 TWh to 12 TWh in 2030. Our forecast of 85TWh in 2050 or 2060 is really optimistic. Norway is the European country with the greatest pump-storage potential.</t>
    </r>
  </si>
  <si>
    <r>
      <rPr>
        <b/>
        <sz val="11"/>
        <color rgb="FF000000"/>
        <rFont val="Calibri"/>
        <family val="2"/>
      </rPr>
      <t xml:space="preserve">(9) </t>
    </r>
    <r>
      <rPr>
        <sz val="11"/>
        <color rgb="FF000000"/>
        <rFont val="Calibri"/>
        <family val="2"/>
      </rPr>
      <t>Offshore wind turbines have an average load factor of 0.33, onshore wind turbines 0.2</t>
    </r>
  </si>
  <si>
    <r>
      <rPr>
        <b/>
        <sz val="11"/>
        <color rgb="FF000000"/>
        <rFont val="Calibri"/>
        <family val="2"/>
      </rPr>
      <t>(5)</t>
    </r>
    <r>
      <rPr>
        <sz val="11"/>
        <color rgb="FF000000"/>
        <rFont val="Calibri"/>
        <family val="2"/>
      </rPr>
      <t xml:space="preserve"> In Germany, photovoltaic production is 5 times higher in summer than in winter, while energy consumption is much higher in winter. Therefore we assume more wind-turbine power than photovoltaic in Europe.</t>
    </r>
  </si>
  <si>
    <t>Country </t>
  </si>
  <si>
    <t>2010 </t>
  </si>
  <si>
    <t>2011 </t>
  </si>
  <si>
    <t>2012 </t>
  </si>
  <si>
    <t>2013 </t>
  </si>
  <si>
    <t>2014 </t>
  </si>
  <si>
    <t>2015 </t>
  </si>
  <si>
    <t>2016 </t>
  </si>
  <si>
    <t>2017 </t>
  </si>
  <si>
    <t>2018 </t>
  </si>
  <si>
    <t>2019 </t>
  </si>
  <si>
    <t> Germany</t>
  </si>
  <si>
    <t> United Kingdom</t>
  </si>
  <si>
    <t> France</t>
  </si>
  <si>
    <t> Italy</t>
  </si>
  <si>
    <t> Spain</t>
  </si>
  <si>
    <t> Netherlands</t>
  </si>
  <si>
    <t>  Switzerland</t>
  </si>
  <si>
    <t> Poland</t>
  </si>
  <si>
    <t> Sweden</t>
  </si>
  <si>
    <t> Belgium</t>
  </si>
  <si>
    <t> Austria</t>
  </si>
  <si>
    <t> Norway</t>
  </si>
  <si>
    <t> Ireland</t>
  </si>
  <si>
    <t> Denmark</t>
  </si>
  <si>
    <t> Finland</t>
  </si>
  <si>
    <t> Czech Republic</t>
  </si>
  <si>
    <t> Portugal</t>
  </si>
  <si>
    <t> Romania</t>
  </si>
  <si>
    <t> Greece</t>
  </si>
  <si>
    <t> Hungary</t>
  </si>
  <si>
    <t> Slovakia</t>
  </si>
  <si>
    <t> Luxembourg</t>
  </si>
  <si>
    <t> Bulgaria</t>
  </si>
  <si>
    <t> Croatia</t>
  </si>
  <si>
    <t> Slovenia</t>
  </si>
  <si>
    <t> Lithuania</t>
  </si>
  <si>
    <t> Latvia</t>
  </si>
  <si>
    <t> Estonia</t>
  </si>
  <si>
    <t> Iceland</t>
  </si>
  <si>
    <t> Cyprus</t>
  </si>
  <si>
    <t> Malta</t>
  </si>
  <si>
    <t>% of world</t>
  </si>
  <si>
    <t>List of nominal GDP for European countries in billion USD, according to IMF (Milliards $)</t>
  </si>
  <si>
    <r>
      <rPr>
        <b/>
        <sz val="11"/>
        <color rgb="FF000000"/>
        <rFont val="Calibri"/>
        <family val="2"/>
      </rPr>
      <t>(6)</t>
    </r>
    <r>
      <rPr>
        <sz val="11"/>
        <color rgb="FF000000"/>
        <rFont val="Calibri"/>
        <family val="2"/>
      </rPr>
      <t xml:space="preserve"> Energy consumption follows GDP. Regarding trade balance, the European Union imports goods with about 15% more grey energy than it exports. World GDP = $84000 billion, European Union GDP = $16600 billion = 20% (year 2020)</t>
    </r>
  </si>
  <si>
    <t>CAPEX: nuclear EPR vs. wind</t>
  </si>
  <si>
    <t>power MW</t>
  </si>
  <si>
    <t>Load factor</t>
  </si>
  <si>
    <t>Invest. CAPEX (millions €)</t>
  </si>
  <si>
    <t>Invest. Dismantling</t>
  </si>
  <si>
    <t>Invest. with load factor</t>
  </si>
  <si>
    <t>CAPEX 1600 MW</t>
  </si>
  <si>
    <r>
      <t xml:space="preserve">EPR of type Flamanville </t>
    </r>
    <r>
      <rPr>
        <b/>
        <sz val="11"/>
        <color rgb="FF000000"/>
        <rFont val="Calibri"/>
        <family val="2"/>
      </rPr>
      <t>(1)</t>
    </r>
    <r>
      <rPr>
        <sz val="11"/>
        <color rgb="FF000000"/>
        <rFont val="Calibri"/>
        <family val="2"/>
      </rPr>
      <t xml:space="preserve"> </t>
    </r>
    <r>
      <rPr>
        <b/>
        <sz val="11"/>
        <color rgb="FF000000"/>
        <rFont val="Calibri"/>
        <family val="2"/>
      </rPr>
      <t>(4)</t>
    </r>
  </si>
  <si>
    <r>
      <t>Large off shore wind turbines</t>
    </r>
    <r>
      <rPr>
        <b/>
        <sz val="11"/>
        <color rgb="FF000000"/>
        <rFont val="Calibri"/>
        <family val="2"/>
      </rPr>
      <t>(2)</t>
    </r>
  </si>
  <si>
    <t>Pump storage hydro power</t>
  </si>
  <si>
    <t>Average yield</t>
  </si>
  <si>
    <t>Comment</t>
  </si>
  <si>
    <t>Losses for storage (renewables)</t>
  </si>
  <si>
    <r>
      <t>Hydrogene in empty methan wells</t>
    </r>
    <r>
      <rPr>
        <b/>
        <sz val="11"/>
        <color rgb="FF000000"/>
        <rFont val="Calibri"/>
        <family val="2"/>
      </rPr>
      <t xml:space="preserve"> (3)</t>
    </r>
  </si>
  <si>
    <t>Hydrogene in artificial tanks</t>
  </si>
  <si>
    <t>Photovoltaic to battery Li DC→DC→AC</t>
  </si>
  <si>
    <t>Wind to battery  Li  AC→DC→AC</t>
  </si>
  <si>
    <t>Losses charging batteries</t>
  </si>
  <si>
    <t>Losses in battery and by the 2 types of inverter</t>
  </si>
  <si>
    <t>Mechanical storage (gravity)</t>
  </si>
  <si>
    <t>New dams: yield with one start-up per day</t>
  </si>
  <si>
    <t>Storage utilities (7)</t>
  </si>
  <si>
    <t>Battery cost evolution ($/kWh)</t>
  </si>
  <si>
    <t>Cost bat.protection and electr. ($/kW)</t>
  </si>
  <si>
    <r>
      <t xml:space="preserve">Cost Pump storage hydro  $/kWh </t>
    </r>
    <r>
      <rPr>
        <b/>
        <sz val="11"/>
        <color rgb="FF000000"/>
        <rFont val="Calibri"/>
        <family val="2"/>
      </rPr>
      <t>(8)</t>
    </r>
  </si>
  <si>
    <t>Storage costs</t>
  </si>
  <si>
    <t>Storage cost per TWh</t>
  </si>
  <si>
    <t>€/kWh =billion €/TWh</t>
  </si>
  <si>
    <t>All types of storage have the same CAPEX except hydro pump-storage</t>
  </si>
  <si>
    <t>In 2020, the cost is 1000 € / kWh for medium-sized batteries.
https://www.batteriedomestique.be/</t>
  </si>
  <si>
    <t>CAPEX total world (billion €)</t>
  </si>
  <si>
    <t>Storage time</t>
  </si>
  <si>
    <r>
      <t>1 day</t>
    </r>
    <r>
      <rPr>
        <b/>
        <sz val="11"/>
        <color rgb="FF000000"/>
        <rFont val="Calibri"/>
        <family val="2"/>
      </rPr>
      <t xml:space="preserve"> (3)</t>
    </r>
  </si>
  <si>
    <t>1 day (3)</t>
  </si>
  <si>
    <t>weighted</t>
  </si>
  <si>
    <t>Fossils replaced by renewables, entire world</t>
  </si>
  <si>
    <t xml:space="preserve">European Union &amp; Schegnen, GDP </t>
  </si>
  <si>
    <t>Monaco+Andorra+Licht.</t>
  </si>
  <si>
    <t>Total GDP EU  + Schengen</t>
  </si>
  <si>
    <t>Total GDP World (world bank)</t>
  </si>
  <si>
    <t>use field M36 for testing an individual country</t>
  </si>
  <si>
    <t>% fossil of total energy</t>
  </si>
  <si>
    <t>% used for energy CAPEX</t>
  </si>
  <si>
    <t>Conversion of primary energies into secondary energies, with estimated yields for some industrial branches.</t>
  </si>
  <si>
    <r>
      <t>Energy storage 24h batteries (MWh)</t>
    </r>
    <r>
      <rPr>
        <b/>
        <sz val="11"/>
        <color rgb="FF000000"/>
        <rFont val="Calibri"/>
        <family val="2"/>
      </rPr>
      <t xml:space="preserve"> (3)</t>
    </r>
  </si>
  <si>
    <t>Energy storage 24h hydro pump (MWh)</t>
  </si>
  <si>
    <t>Nuclear fast neutron reactors replace fossil energy</t>
  </si>
  <si>
    <t>prod. /y MWh</t>
  </si>
  <si>
    <t>nb. Small reactors</t>
  </si>
  <si>
    <r>
      <t xml:space="preserve">Small fast neutron reactors 100MW </t>
    </r>
    <r>
      <rPr>
        <b/>
        <sz val="11"/>
        <color rgb="FF000000"/>
        <rFont val="Calibri"/>
        <family val="2"/>
      </rPr>
      <t>(5)</t>
    </r>
  </si>
  <si>
    <r>
      <rPr>
        <b/>
        <sz val="11"/>
        <color rgb="FF000000"/>
        <rFont val="Calibri"/>
        <family val="2"/>
      </rPr>
      <t>(1)</t>
    </r>
    <r>
      <rPr>
        <sz val="11"/>
        <color rgb="FF000000"/>
        <rFont val="Calibri"/>
        <family val="2"/>
      </rPr>
      <t xml:space="preserve"> It is assumed that new EPR nuclear power stations would cost 30% less than the EPR in Flamanville. According to the French Court of Auditors, the Flamanville EPR costs 18.7 billion. It is assumed that a Fast-Neutron-Reactor plant will cost as much as an EPR, an optimistic assumption given the reluctance of regulators and the complexity of the technology.
Load factor of a nuclear power plant : On a 10 year average, a nuclear power plant is shut down for 32.5 days per year for maintenance. (Source: EDF, "Arrêt de Tranche").</t>
    </r>
  </si>
  <si>
    <r>
      <rPr>
        <b/>
        <sz val="11"/>
        <color rgb="FF000000"/>
        <rFont val="Calibri"/>
        <family val="2"/>
      </rPr>
      <t xml:space="preserve">(2) </t>
    </r>
    <r>
      <rPr>
        <sz val="11"/>
        <color rgb="FF000000"/>
        <rFont val="Calibri"/>
        <family val="2"/>
      </rPr>
      <t>Load factor of Belgian off-shore wind turbines in 2018. Wind turbines do not need to be dismantled, only a few elements in the generator need to be replaced every 30 years. There is no reason why a wind tower, made with modern steel, has a shorter lifespan than the Eifel tower, made with lower grade steel from 120 years ago.</t>
    </r>
  </si>
  <si>
    <r>
      <rPr>
        <b/>
        <sz val="11"/>
        <color rgb="FF000000"/>
        <rFont val="Calibri"/>
        <family val="2"/>
      </rPr>
      <t>(4)</t>
    </r>
    <r>
      <rPr>
        <sz val="11"/>
        <color rgb="FF000000"/>
        <rFont val="Calibri"/>
        <family val="2"/>
      </rPr>
      <t xml:space="preserve"> Power plant shutdown for maintenance: 15 days every year, 30 days every 2 years; 100 days every 10 years: 32.5 days on average per year.
Shutdowns for lack of cooling water in rivers are not included, otherwise the load factor would be even lower.</t>
    </r>
  </si>
  <si>
    <r>
      <rPr>
        <b/>
        <sz val="11"/>
        <color rgb="FF000000"/>
        <rFont val="Calibri"/>
        <family val="2"/>
      </rPr>
      <t xml:space="preserve">(3) </t>
    </r>
    <r>
      <rPr>
        <sz val="11"/>
        <color rgb="FF000000"/>
        <rFont val="Calibri"/>
        <family val="2"/>
      </rPr>
      <t>Storage of electricity in batteries or mechanical storage systems at similar prices. A country with more than 90% nuclear electricity also needs battery storage to stabilize load fluctuations. EDF invested around 40 million in such a system in 2018. In my calculations of the cost of nuclear power, this storage need is ignored, I have not found any means to estimate this storage need, but it would still have to be added to the nuclear power costs. The losses of the water pumping system are estimated at 25%.</t>
    </r>
  </si>
  <si>
    <r>
      <rPr>
        <b/>
        <sz val="11"/>
        <color rgb="FF000000"/>
        <rFont val="Calibri"/>
        <family val="2"/>
      </rPr>
      <t>(5)</t>
    </r>
    <r>
      <rPr>
        <sz val="11"/>
        <color rgb="FF000000"/>
        <rFont val="Calibri"/>
        <family val="2"/>
      </rPr>
      <t xml:space="preserve"> The load factor is optimistic for a fast neutron reactor! The number of small nuclear power plants in the world to replace all fossil fuels is very high. How in this case to control the treaty of non-proliferation of nuclear weapons? Protecting so many small power plants spread all over the world against terrorist would increase their costs. These costs are not included.</t>
    </r>
  </si>
  <si>
    <t>Millions per year</t>
  </si>
  <si>
    <t>Energy  TWh</t>
  </si>
  <si>
    <r>
      <t xml:space="preserve">Nb. of transactions crypto-currency </t>
    </r>
    <r>
      <rPr>
        <b/>
        <sz val="11"/>
        <color rgb="FF000000"/>
        <rFont val="Calibri"/>
        <family val="2"/>
      </rPr>
      <t>(6)</t>
    </r>
  </si>
  <si>
    <r>
      <t>Nb. of transactions between banks</t>
    </r>
    <r>
      <rPr>
        <b/>
        <sz val="11"/>
        <color rgb="FF000000"/>
        <rFont val="Calibri"/>
        <family val="2"/>
      </rPr>
      <t xml:space="preserve"> (7)</t>
    </r>
  </si>
  <si>
    <r>
      <t xml:space="preserve">Electricity for internet &amp; smart-phones </t>
    </r>
    <r>
      <rPr>
        <b/>
        <sz val="11"/>
        <color rgb="FF000000"/>
        <rFont val="Calibri"/>
        <family val="2"/>
      </rPr>
      <t>(8)</t>
    </r>
  </si>
  <si>
    <r>
      <rPr>
        <b/>
        <sz val="11"/>
        <color rgb="FF000000"/>
        <rFont val="Calibri"/>
        <family val="2"/>
      </rPr>
      <t xml:space="preserve">(6) </t>
    </r>
    <r>
      <rPr>
        <sz val="11"/>
        <color rgb="FF000000"/>
        <rFont val="Calibri"/>
        <family val="2"/>
      </rPr>
      <t>Sedlmeir, J., Buhl, H.U., Fridgen, G. et al. ; The Energy Consumption of Blockchain Technology (2020) .
A transaction with Bitcoins consumes 10^9 joules (page 606). (10^9 Joules = 278kWh)
According to the IEA, all bitcoin transactions consumed 50TWh in 2018 (IEA, Energy efficiency 2019, page 39). Since then, the number of transactions of all cryptocurrencies has increased considerably.</t>
    </r>
  </si>
  <si>
    <r>
      <rPr>
        <b/>
        <sz val="11"/>
        <color rgb="FF000000"/>
        <rFont val="Calibri"/>
        <family val="2"/>
      </rPr>
      <t>(8)</t>
    </r>
    <r>
      <rPr>
        <sz val="11"/>
        <color rgb="FF000000"/>
        <rFont val="Calibri"/>
        <family val="2"/>
      </rPr>
      <t xml:space="preserve"> Total Consumer Power Consumption Forecast, Anders S.G. Andrae (Huawei), lors du Nordic Digital Business Summit, Helsinki, oct.2017.
According to the  "Royal Institute of Technology KTH" from Sweden, total power consumption of the internet was 2500 TWh in 2019. </t>
    </r>
  </si>
  <si>
    <t>Sources of greenhouse gases</t>
  </si>
  <si>
    <t>Type of activity</t>
  </si>
  <si>
    <t>percentage</t>
  </si>
  <si>
    <t>Construction</t>
  </si>
  <si>
    <t>truck transport</t>
  </si>
  <si>
    <t>sea transport</t>
  </si>
  <si>
    <t>air plane transport</t>
  </si>
  <si>
    <t>Steel industry</t>
  </si>
  <si>
    <t>chemistry &amp; petrochemicals</t>
  </si>
  <si>
    <t>cement</t>
  </si>
  <si>
    <t>World regions</t>
  </si>
  <si>
    <t>China</t>
  </si>
  <si>
    <t>USA</t>
  </si>
  <si>
    <t xml:space="preserve">European Union </t>
  </si>
  <si>
    <t>India</t>
  </si>
  <si>
    <t>Production of hydrogene</t>
  </si>
  <si>
    <t>Investissement hydrogene  prod.</t>
  </si>
  <si>
    <t>energy of 1kg of H2 in fuel cell</t>
  </si>
  <si>
    <t>Production of 1kg H2  (alcaline)</t>
  </si>
  <si>
    <t>Production of 1kg H2  (PEM)</t>
  </si>
  <si>
    <t>life span 10 ans: PME stack</t>
  </si>
  <si>
    <t>French ministry of ecology; Filière hydrogène; rapport sept. 2015</t>
  </si>
  <si>
    <t>Cost of hydrogen production with electrolysis</t>
  </si>
  <si>
    <t>Yield</t>
  </si>
  <si>
    <t>Electricity cost</t>
  </si>
  <si>
    <t>Production cost H2</t>
  </si>
  <si>
    <t>In 2020, this cost is 4 times higher than the production of H2 by methane reformation CH4. (CH4+2*H2O =&gt; 4*H2+CO2)</t>
  </si>
  <si>
    <t>Purify water: Reverse osmosis with ~ 6kWh per m3: 6kWh *2/18 = 6 kWh/111kg. Therefore 0.002€ per kg.</t>
  </si>
  <si>
    <t>Investment for production of hydrogen by electrolysis</t>
  </si>
  <si>
    <t>Total investment up to year 2050</t>
  </si>
  <si>
    <t>Bloomberg NEO 2020 Executive Key Messages : min 14000, max 66000 billion, if global warming maximum = 2°C</t>
  </si>
  <si>
    <t>Other investments energy production</t>
  </si>
  <si>
    <t>Capacity (TWh)</t>
  </si>
  <si>
    <t>CAPEX  billion dolars</t>
  </si>
  <si>
    <t>CAPEX according to german Institut Fraunhofer in 2019: 2000€/Nm3/h</t>
  </si>
  <si>
    <t>Hydrogene for transport (electrolysis)</t>
  </si>
  <si>
    <t>Hydrogene for storage (electrolysis)</t>
  </si>
  <si>
    <t>CAPEX Total world (milliards €)</t>
  </si>
  <si>
    <t>European Union+Schengen, GDP billion</t>
  </si>
  <si>
    <t>Secondary energy Mtoe 2020 - 2030</t>
  </si>
  <si>
    <t>Greenhous gaz emissions</t>
  </si>
  <si>
    <t>Invest. "green new deal" over 10 years</t>
  </si>
  <si>
    <t>100 billion per year, annonced by EU jan. 2020</t>
  </si>
  <si>
    <t>CO2 capture and sequestration: Cost</t>
  </si>
  <si>
    <t>min $ per ton</t>
  </si>
  <si>
    <t>max $ per ton</t>
  </si>
  <si>
    <t>CO2 chemical process</t>
  </si>
  <si>
    <t>Produce methan: CO2+H4=&gt;CH4</t>
  </si>
  <si>
    <t>Microalgae</t>
  </si>
  <si>
    <t>Bio-energy</t>
  </si>
  <si>
    <t>conservation agricultur</t>
  </si>
  <si>
    <t>Gray energy Infrastructures and public services Switzerland</t>
  </si>
  <si>
    <t>CO2 emissions in ton in 2020</t>
  </si>
  <si>
    <t>Public buildings + Energy management</t>
  </si>
  <si>
    <t>Transportation Infrastructures</t>
  </si>
  <si>
    <t>Waste treatment</t>
  </si>
  <si>
    <t>Reusable heat</t>
  </si>
  <si>
    <t>Comment / Source</t>
  </si>
  <si>
    <t>CO2 tons</t>
  </si>
  <si>
    <t>Total par habitant</t>
  </si>
  <si>
    <t>Wind turbins France in 2020</t>
  </si>
  <si>
    <t>TWh primary</t>
  </si>
  <si>
    <t>TWh usable</t>
  </si>
  <si>
    <t>planed 2028</t>
  </si>
  <si>
    <t>fossil energies</t>
  </si>
  <si>
    <t>Production photovoltaic</t>
  </si>
  <si>
    <t xml:space="preserve">Production wind turbins </t>
  </si>
  <si>
    <t>with 17% loss for storage (23% loss 75% of the time)</t>
  </si>
  <si>
    <t>Multiplying existing installations in 2020</t>
  </si>
  <si>
    <t>transaction kWh</t>
  </si>
  <si>
    <r>
      <rPr>
        <b/>
        <sz val="11"/>
        <color rgb="FF000000"/>
        <rFont val="Calibri"/>
        <family val="2"/>
      </rPr>
      <t>(7)</t>
    </r>
    <r>
      <rPr>
        <sz val="11"/>
        <color rgb="FF000000"/>
        <rFont val="Calibri"/>
        <family val="2"/>
      </rPr>
      <t xml:space="preserve"> If all banking transactions were done in cryptocurrencies, energy consumption would correspond to 20 times the energy consumption of the entire internet in 2020. Replacing all banking transactions in the world with transactions based on blockchains and cryptocurrencies would consume too much energy (50 000 TWh)! Banking transactions using blockchains would then use  50% of electrical energy if all fossil fuels were replaced by electricity, or twice the total world electricity production of 2020.</t>
    </r>
  </si>
  <si>
    <t>Total GDP EU + GB</t>
  </si>
  <si>
    <t>CAPEX Total world billion</t>
  </si>
  <si>
    <t>European Union + Schengen: 
Fossils replaced by renewables (6)</t>
  </si>
  <si>
    <t xml:space="preserve">Notes </t>
  </si>
  <si>
    <t>storage capacity 340TWh</t>
  </si>
  <si>
    <t xml:space="preserve">CAPEX 2020 </t>
  </si>
  <si>
    <t xml:space="preserve">CAPEX  2050 </t>
  </si>
  <si>
    <t>number of hours</t>
  </si>
  <si>
    <t>CAPEX average billion</t>
  </si>
  <si>
    <t>% of total storage capacity</t>
  </si>
  <si>
    <t>Bitcoin Crypto-currency / Blockchains</t>
  </si>
  <si>
    <r>
      <rPr>
        <b/>
        <sz val="11"/>
        <color rgb="FF000000"/>
        <rFont val="Calibri"/>
        <family val="2"/>
      </rPr>
      <t>(7)</t>
    </r>
    <r>
      <rPr>
        <sz val="11"/>
        <color rgb="FF000000"/>
        <rFont val="Calibri"/>
        <family val="2"/>
      </rPr>
      <t xml:space="preserve"> I have planned for the bare minimum in electricity storage capacity. There will be weather configurations during which renewables will not produce enough energy and a number of machines will not be able to operate, they will have to wait for a signal from the power utilities to start, similar to signals sent to start water heaters during off-peak hours. Without changing our habits, real CAPEX may be much higher. Data from the US National Renewable Energy Laboratory (NREL);      </t>
    </r>
  </si>
  <si>
    <t>Author: Peter Strack             Version 1.1</t>
  </si>
  <si>
    <r>
      <t xml:space="preserve">The probable scenarios of the IEA and the NEO (Boomberg) still predict a cumulative growth of 6% of fossil fuels until 2027. I assume that these 6% of CO2 equivalent will be captured by soils and forests in 2050. Although </t>
    </r>
    <r>
      <rPr>
        <i/>
        <sz val="10"/>
        <color rgb="FF000000"/>
        <rFont val="Calibri"/>
        <family val="2"/>
      </rPr>
      <t>Conservation agriculture</t>
    </r>
    <r>
      <rPr>
        <sz val="10"/>
        <color rgb="FF000000"/>
        <rFont val="Calibri"/>
        <family val="2"/>
      </rPr>
      <t xml:space="preserve"> can capture and store a lot of CO2, this process works for only about 20 years until the soils have reached maximum carbon. Regarding forests, the CO2 storage balance is positive only if the wood is used in the construction of buildings and furniture, but not for heating buildings or for making electricity. The Drax GB group burns 7 500 000 tonnes of wood per year in electricity power stations. This wood does not reduce CO2 emissions even if the forests were carbon sinks before their wood was burnt to generate electricity.  Furthermore, primary forests emit as much CO2 as they capture, because old wood decomposes and emits CO2. Only "managed" forests whose old trees are cut down for permanent use, e.g. for buildings, are "carbon sinks". For such reasons, the "carbon sink" effect of forests is largely overestimated, usually for political reasons.</t>
    </r>
  </si>
  <si>
    <t>https://www.economist.com/international/2020/12/05/the-pandemic-may-be-encouraging-people-to-live-in-larger-groups</t>
  </si>
  <si>
    <t>Swiss average watts</t>
  </si>
  <si>
    <t>Energy mobility</t>
  </si>
  <si>
    <t>Housing energy: heating + hot water</t>
  </si>
  <si>
    <t>Energy food &amp; nurishement</t>
  </si>
  <si>
    <t>Grey energy: consumption of objects</t>
  </si>
  <si>
    <t>See neighborhood study. Part of the electricity is produced in the neighborhood for self-consumption</t>
  </si>
  <si>
    <t>Local organic market gardening: 50% of food energy = transport; a little less meaty and exotic</t>
  </si>
  <si>
    <t>Part-time work, more widespread than in Switzerland, reduces non-essential purchasing power.</t>
  </si>
  <si>
    <t>neighborhood Hunziker</t>
  </si>
  <si>
    <t>Grey energy State administration and infrastructures</t>
  </si>
  <si>
    <t>Gray energy neighborhood building, machinery and equippements</t>
  </si>
  <si>
    <t>Neighborhood Hunziker 
Energy consumption by topic</t>
  </si>
  <si>
    <t>In France, maintaining 1 million kilometers of roads needs 3 million tons of petroleum-based products per year. No scalable technology is in view to replace these products. Road-wear is crucial.</t>
  </si>
  <si>
    <t>Electricity appartement equippement</t>
  </si>
  <si>
    <t>Very few personnel cars, shared cars + electric bikes. Use public transport. More local jobs reduce travel.</t>
  </si>
  <si>
    <t>Comment / Source (Except for food, it is assumed that purchasing power and energy correlate)</t>
  </si>
  <si>
    <t xml:space="preserve">Common deepfreezer-room is available, whose produced heat is used heating water. </t>
  </si>
  <si>
    <t>Strong reduction in road mobility reduces need for 4 lane roads. Lower consumption needs less transport of goods, less road wear. Neighborhood + cooperative = 1st level of social security, it needs less state-administration. Neighborhood has less loneliness. About health cost of loneliness, see:</t>
  </si>
  <si>
    <t>Appartements of 35m² per person against 45m² in CH; little tiling, use of raw or waxed concrete, more wooden constructions, few garages; shared long-living machinery + equipment. Almost no personal cars.</t>
  </si>
  <si>
    <t>Renewable projects</t>
  </si>
  <si>
    <t>GW EU</t>
  </si>
  <si>
    <t>TWh EU</t>
  </si>
  <si>
    <t>Total need</t>
  </si>
  <si>
    <t>Need = 100 000 TWh * part of world GdP in order to replace ALL fossile fuels</t>
  </si>
  <si>
    <t>Project northern sea, D, DM, S in 2050</t>
  </si>
  <si>
    <t>EU 260 GW off shore wind turbines (Economist, "Northern delights", 7/1/2023)</t>
  </si>
  <si>
    <t>Total renewable installed in Europe 2022</t>
  </si>
  <si>
    <t>https://www.iea.org/reports/renewables-2022/renewable-electricity</t>
  </si>
  <si>
    <t>Total projected</t>
  </si>
  <si>
    <t>Electricitéhaut fourneaux charbon</t>
  </si>
  <si>
    <t>https://www.sciencedirect.com/topics/engineering/blast-furnace</t>
  </si>
  <si>
    <t>https://www.sciencedirect.com/science/article/pii/S0959652618326301</t>
  </si>
  <si>
    <t>Far away from the goal: 19800 TWh !!</t>
  </si>
  <si>
    <t>k tons/day</t>
  </si>
  <si>
    <t>GWh/kt steel</t>
  </si>
  <si>
    <t>GW/blast furn.</t>
  </si>
  <si>
    <t>t CO2/t steel</t>
  </si>
  <si>
    <t>Production blast furnace coal</t>
  </si>
  <si>
    <t>Production direct reduction + arc furnace</t>
  </si>
  <si>
    <t>17GJ=0.005GWh/t steel</t>
  </si>
  <si>
    <t>3,5MWh/t blast.f + 0,5 MWh arc furn.</t>
  </si>
  <si>
    <t>Comment / source</t>
  </si>
  <si>
    <t>Electricity GW constant/direct.red.furn.</t>
  </si>
  <si>
    <t>EPR generator = 1,3GW. One EPR generator to replace one blast furnace</t>
  </si>
  <si>
    <t>1-90 days</t>
  </si>
  <si>
    <t>1 - 90 days</t>
  </si>
  <si>
    <t>Average weighted loss = 30%</t>
  </si>
  <si>
    <t>Also includes hydrogen production electrolysers (30000)</t>
  </si>
  <si>
    <t>Electrolysis losses 30%, gas compression losses 15%; produce electicity and heat housing 10%</t>
  </si>
  <si>
    <t>Electrolysis losses 30%, gas compression losses 5%; produce electricity and heat industry 5%</t>
  </si>
  <si>
    <t xml:space="preserve">kWh </t>
  </si>
  <si>
    <t>https://kaspergroesludvigsen.medium.com/chatgpts-electricity-consumption-pt-ii-225e7e43f22b</t>
  </si>
  <si>
    <t>https://www.oberlo.com/blog/google-search-statistics</t>
  </si>
  <si>
    <t>Nb de recherches hors Chine/Russie / jour</t>
  </si>
  <si>
    <t>Consommation d'Electricité TWh</t>
  </si>
  <si>
    <t>nb d'EPR à 1.2 GW; facteur charge 80%</t>
  </si>
  <si>
    <t>Notes:</t>
  </si>
  <si>
    <t>GPT3: 175 milliards parameters, 60 milliards neurones</t>
  </si>
  <si>
    <r>
      <rPr>
        <b/>
        <sz val="11"/>
        <color rgb="FF000000"/>
        <rFont val="Calibri"/>
        <family val="2"/>
      </rPr>
      <t xml:space="preserve">(1) </t>
    </r>
    <r>
      <rPr>
        <sz val="11"/>
        <color rgb="FF000000"/>
        <rFont val="Calibri"/>
        <family val="2"/>
      </rPr>
      <t>13M daily users 15 requests per day need 29'000 Nvidia A100 GPUs. 0.004kWh per request BLOOM language model. chatGPT3 needs 4 - 23GWh per month</t>
    </r>
  </si>
  <si>
    <t>Electricité Chat-GPT-4 (1)</t>
  </si>
  <si>
    <t>Power per search command</t>
  </si>
  <si>
    <t>Nb of searches Google per day</t>
  </si>
  <si>
    <t>milliards / day</t>
  </si>
  <si>
    <t>TWh / year</t>
  </si>
  <si>
    <t>GPT-4 avec Chine+Russie, nb d'EPR</t>
  </si>
  <si>
    <t>GPT4: &gt;1200 milliards parametres, about 500 milliards de neurones</t>
  </si>
  <si>
    <t>Energie - Fakten und Zahlen (Eidgenossenschaft) + Bundesamt Treibhausgasemissionen Inland/Ausland</t>
  </si>
  <si>
    <t>Energieperspektiven 2050+</t>
  </si>
  <si>
    <r>
      <t>GDP &amp; imported grey energy
CO</t>
    </r>
    <r>
      <rPr>
        <b/>
        <sz val="10"/>
        <color rgb="FF000000"/>
        <rFont val="Calibri"/>
        <family val="2"/>
      </rPr>
      <t>2</t>
    </r>
    <r>
      <rPr>
        <b/>
        <sz val="12"/>
        <color rgb="FF000000"/>
        <rFont val="Calibri"/>
        <family val="2"/>
      </rPr>
      <t xml:space="preserve"> emissions (CH)</t>
    </r>
  </si>
  <si>
    <t>World</t>
  </si>
  <si>
    <t>Switzerland</t>
  </si>
  <si>
    <t>Investit. inside CH till 2050</t>
  </si>
  <si>
    <t>GDP
billion US$</t>
  </si>
  <si>
    <t>Total prim. 
energy TWh</t>
  </si>
  <si>
    <t>Invest.
Billion US$</t>
  </si>
  <si>
    <t>Invest as fct
of GDP $ (Fr)</t>
  </si>
  <si>
    <t>Energieperspektiven 2050+ multiplied by imported GHG</t>
  </si>
  <si>
    <t>CH factor 2019: (65-5)/40 = 1,5</t>
  </si>
  <si>
    <t>Comment / source.  Conversion : 1PJ = 0.28 TWh</t>
  </si>
  <si>
    <r>
      <t xml:space="preserve">Investit CH incl. Imported grey energy </t>
    </r>
    <r>
      <rPr>
        <b/>
        <sz val="11"/>
        <color rgb="FF000000"/>
        <rFont val="Calibri"/>
        <family val="2"/>
      </rPr>
      <t>(2)</t>
    </r>
  </si>
  <si>
    <t>TWh country % of
100'000 TWh</t>
  </si>
  <si>
    <t>total TWh</t>
  </si>
  <si>
    <t xml:space="preserve">Deutschland </t>
  </si>
  <si>
    <t>Deutschland geplante Energiequellen bis 2045
zusätzlich Biomasse = 50TWh, Wasserkraft = 20TWh</t>
  </si>
  <si>
    <t>Energieverbrauch durch 3 teilen!</t>
  </si>
  <si>
    <t>1600 billion per year. See The Economist, 23 mai 2020, page 50.  = 18% of total investments</t>
  </si>
  <si>
    <r>
      <rPr>
        <b/>
        <sz val="11"/>
        <color rgb="FF000000"/>
        <rFont val="Calibri"/>
        <family val="2"/>
      </rPr>
      <t xml:space="preserve">(2) </t>
    </r>
    <r>
      <rPr>
        <sz val="11"/>
        <color rgb="FF000000"/>
        <rFont val="Calibri"/>
        <family val="2"/>
      </rPr>
      <t xml:space="preserve">Computing costs (CAPEX) based on swiss government data without investment in electricity transport infrastructure, which makes 18% of total investment (see NZZ 2/08/2023 </t>
    </r>
    <r>
      <rPr>
        <i/>
        <sz val="11"/>
        <color rgb="FF000000"/>
        <rFont val="Calibri"/>
        <family val="2"/>
      </rPr>
      <t>Wie das Stromnetz ausgebaut werden muss</t>
    </r>
    <r>
      <rPr>
        <sz val="11"/>
        <color rgb="FF000000"/>
        <rFont val="Calibri"/>
        <family val="2"/>
      </rPr>
      <t>). The imported grey energy increases total energy consumption by 50%.
If infrastructure investment is included, our own CAPEX estimation is  10% lower than Swiss government data. GDP therefore correlats rather well to the cost of the energy transition.</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</si>
</sst>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 * #,##0.00\ ;\ * \(#,##0.00\);\ * \-#\ ;\ @\ "/>
    <numFmt numFmtId="165" formatCode="\ * #,##0\ ;\ * \(#,##0\);\ * \-#\ ;\ @\ "/>
    <numFmt numFmtId="166" formatCode="&quot; $&quot;* #,##0.00\ ;&quot; $&quot;* \(#,##0.00\);&quot; $&quot;* \-#\ ;\ @\ "/>
    <numFmt numFmtId="167" formatCode="0.0"/>
    <numFmt numFmtId="168" formatCode="0.000"/>
  </numFmts>
  <fonts count="25" x14ac:knownFonts="1">
    <font>
      <sz val="11"/>
      <color rgb="FF000000"/>
      <name val="Calibri"/>
      <family val="2"/>
    </font>
    <font>
      <sz val="12"/>
      <color rgb="FF000000"/>
      <name val="Calibri"/>
      <family val="2"/>
    </font>
    <font>
      <b/>
      <sz val="10"/>
      <color rgb="FF000000"/>
      <name val="Calibri"/>
      <family val="2"/>
    </font>
    <font>
      <b/>
      <sz val="11"/>
      <color rgb="FF000000"/>
      <name val="Calibri"/>
      <family val="2"/>
    </font>
    <font>
      <b/>
      <sz val="12"/>
      <color rgb="FF000000"/>
      <name val="Calibri"/>
      <family val="2"/>
    </font>
    <font>
      <b/>
      <u/>
      <sz val="12"/>
      <color rgb="FF000000"/>
      <name val="Calibri"/>
      <family val="2"/>
    </font>
    <font>
      <sz val="11"/>
      <color rgb="FF000000"/>
      <name val="Calibri"/>
      <family val="2"/>
    </font>
    <font>
      <sz val="10"/>
      <color rgb="FF000000"/>
      <name val="Calibri"/>
      <family val="2"/>
    </font>
    <font>
      <u/>
      <sz val="11"/>
      <color theme="10"/>
      <name val="Calibri"/>
      <family val="2"/>
    </font>
    <font>
      <u/>
      <sz val="9"/>
      <color theme="10"/>
      <name val="Calibri"/>
      <family val="2"/>
    </font>
    <font>
      <sz val="10"/>
      <color theme="1"/>
      <name val="Calibri"/>
      <family val="2"/>
    </font>
    <font>
      <b/>
      <u/>
      <sz val="11"/>
      <color rgb="FF000000"/>
      <name val="Calibri"/>
      <family val="2"/>
    </font>
    <font>
      <u/>
      <sz val="10"/>
      <color theme="10"/>
      <name val="Calibri"/>
      <family val="2"/>
    </font>
    <font>
      <b/>
      <sz val="14"/>
      <color rgb="FF000000"/>
      <name val="Calibri"/>
      <family val="2"/>
    </font>
    <font>
      <sz val="11"/>
      <color rgb="FF3F3F76"/>
      <name val="Calibri"/>
      <family val="2"/>
      <scheme val="minor"/>
    </font>
    <font>
      <b/>
      <sz val="10"/>
      <color theme="1"/>
      <name val="Calibri"/>
      <family val="2"/>
    </font>
    <font>
      <u/>
      <sz val="8"/>
      <color theme="10"/>
      <name val="Calibri"/>
      <family val="2"/>
    </font>
    <font>
      <b/>
      <sz val="11"/>
      <name val="Calibri"/>
      <family val="2"/>
    </font>
    <font>
      <sz val="11"/>
      <color rgb="FF000000"/>
      <name val="Calibri"/>
      <family val="2"/>
      <charset val="1"/>
    </font>
    <font>
      <b/>
      <sz val="11"/>
      <color rgb="FF000000"/>
      <name val="Calibri"/>
      <family val="2"/>
      <charset val="1"/>
    </font>
    <font>
      <u/>
      <sz val="11"/>
      <color rgb="FF0563C1"/>
      <name val="Calibri"/>
      <family val="2"/>
      <charset val="1"/>
    </font>
    <font>
      <sz val="11"/>
      <color rgb="FF3F3F76"/>
      <name val="Calibri"/>
      <family val="2"/>
      <charset val="1"/>
    </font>
    <font>
      <i/>
      <sz val="10"/>
      <color rgb="FF000000"/>
      <name val="Calibri"/>
      <family val="2"/>
    </font>
    <font>
      <b/>
      <sz val="11"/>
      <color theme="1"/>
      <name val="Calibri"/>
      <family val="2"/>
      <scheme val="minor"/>
    </font>
    <font>
      <i/>
      <sz val="11"/>
      <color rgb="FF000000"/>
      <name val="Calibri"/>
      <family val="2"/>
    </font>
  </fonts>
  <fills count="7">
    <fill>
      <patternFill patternType="none"/>
    </fill>
    <fill>
      <patternFill patternType="gray125"/>
    </fill>
    <fill>
      <patternFill patternType="solid">
        <fgColor rgb="FFDDDDDD"/>
        <bgColor rgb="FFFFCCCC"/>
      </patternFill>
    </fill>
    <fill>
      <patternFill patternType="solid">
        <fgColor rgb="FFFFFF00"/>
        <bgColor rgb="FFFFFF00"/>
      </patternFill>
    </fill>
    <fill>
      <patternFill patternType="solid">
        <fgColor rgb="FFFFFF00"/>
        <bgColor indexed="64"/>
      </patternFill>
    </fill>
    <fill>
      <patternFill patternType="solid">
        <fgColor rgb="FFFFCC99"/>
      </patternFill>
    </fill>
    <fill>
      <patternFill patternType="solid">
        <fgColor rgb="FFFFCC99"/>
        <bgColor rgb="FFC0C0C0"/>
      </patternFill>
    </fill>
  </fills>
  <borders count="16">
    <border>
      <left/>
      <right/>
      <top/>
      <bottom/>
      <diagonal/>
    </border>
    <border>
      <left/>
      <right/>
      <top/>
      <bottom style="thin">
        <color auto="1"/>
      </bottom>
      <diagonal/>
    </border>
    <border>
      <left/>
      <right/>
      <top/>
      <bottom style="double">
        <color auto="1"/>
      </bottom>
      <diagonal/>
    </border>
    <border>
      <left style="thin">
        <color auto="1"/>
      </left>
      <right/>
      <top/>
      <bottom/>
      <diagonal/>
    </border>
    <border>
      <left style="thin">
        <color auto="1"/>
      </left>
      <right/>
      <top/>
      <bottom style="thin">
        <color auto="1"/>
      </bottom>
      <diagonal/>
    </border>
    <border>
      <left style="thin">
        <color auto="1"/>
      </left>
      <right style="thin">
        <color auto="1"/>
      </right>
      <top/>
      <bottom/>
      <diagonal/>
    </border>
    <border>
      <left/>
      <right style="thin">
        <color auto="1"/>
      </right>
      <top/>
      <bottom/>
      <diagonal/>
    </border>
    <border>
      <left/>
      <right style="thin">
        <color auto="1"/>
      </right>
      <top/>
      <bottom style="thin">
        <color auto="1"/>
      </bottom>
      <diagonal/>
    </border>
    <border>
      <left/>
      <right style="thin">
        <color auto="1"/>
      </right>
      <top/>
      <bottom style="double">
        <color auto="1"/>
      </bottom>
      <diagonal/>
    </border>
    <border>
      <left/>
      <right/>
      <top style="thin">
        <color auto="1"/>
      </top>
      <bottom/>
      <diagonal/>
    </border>
    <border>
      <left style="thin">
        <color auto="1"/>
      </left>
      <right style="thin">
        <color auto="1"/>
      </right>
      <top/>
      <bottom style="thin">
        <color auto="1"/>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auto="1"/>
      </left>
      <right/>
      <top style="thin">
        <color auto="1"/>
      </top>
      <bottom/>
      <diagonal/>
    </border>
    <border>
      <left/>
      <right/>
      <top style="thin">
        <color auto="1"/>
      </top>
      <bottom style="double">
        <color auto="1"/>
      </bottom>
      <diagonal/>
    </border>
    <border>
      <left/>
      <right/>
      <top/>
      <bottom style="medium">
        <color auto="1"/>
      </bottom>
      <diagonal/>
    </border>
  </borders>
  <cellStyleXfs count="11">
    <xf numFmtId="0" fontId="0" fillId="0" borderId="0"/>
    <xf numFmtId="164" fontId="6" fillId="0" borderId="0" applyBorder="0" applyProtection="0"/>
    <xf numFmtId="166" fontId="6" fillId="0" borderId="0" applyBorder="0" applyProtection="0"/>
    <xf numFmtId="0" fontId="2" fillId="2" borderId="0" applyBorder="0" applyProtection="0"/>
    <xf numFmtId="0" fontId="8" fillId="0" borderId="0" applyNumberFormat="0" applyFill="0" applyBorder="0" applyAlignment="0" applyProtection="0"/>
    <xf numFmtId="0" fontId="14" fillId="5" borderId="12" applyNumberFormat="0" applyAlignment="0" applyProtection="0"/>
    <xf numFmtId="0" fontId="18" fillId="0" borderId="0"/>
    <xf numFmtId="164" fontId="18" fillId="0" borderId="0" applyBorder="0" applyProtection="0"/>
    <xf numFmtId="166" fontId="18" fillId="0" borderId="0" applyBorder="0" applyProtection="0"/>
    <xf numFmtId="0" fontId="20" fillId="0" borderId="0" applyBorder="0" applyProtection="0"/>
    <xf numFmtId="0" fontId="21" fillId="6" borderId="12" applyProtection="0"/>
  </cellStyleXfs>
  <cellXfs count="389">
    <xf numFmtId="0" fontId="0" fillId="0" borderId="0" xfId="0"/>
    <xf numFmtId="0" fontId="3" fillId="0" borderId="0" xfId="0" applyFont="1"/>
    <xf numFmtId="0" fontId="0" fillId="0" borderId="0" xfId="0" applyBorder="1"/>
    <xf numFmtId="9" fontId="0" fillId="0" borderId="0" xfId="0" applyNumberFormat="1"/>
    <xf numFmtId="0" fontId="4" fillId="0" borderId="0" xfId="0" applyFont="1"/>
    <xf numFmtId="0" fontId="3" fillId="0" borderId="0" xfId="0" applyFont="1" applyAlignment="1">
      <alignment horizontal="center"/>
    </xf>
    <xf numFmtId="0" fontId="3" fillId="0" borderId="1" xfId="0" applyFont="1" applyBorder="1"/>
    <xf numFmtId="0" fontId="0" fillId="0" borderId="1" xfId="0" applyBorder="1"/>
    <xf numFmtId="0" fontId="3" fillId="0" borderId="1" xfId="0" applyFont="1" applyBorder="1" applyAlignment="1">
      <alignment horizontal="center"/>
    </xf>
    <xf numFmtId="0" fontId="0" fillId="0" borderId="1" xfId="0" applyBorder="1" applyAlignment="1">
      <alignment horizontal="center"/>
    </xf>
    <xf numFmtId="0" fontId="0" fillId="0" borderId="0" xfId="0" applyFont="1" applyAlignment="1">
      <alignment horizontal="center"/>
    </xf>
    <xf numFmtId="1" fontId="3" fillId="0" borderId="0" xfId="0" applyNumberFormat="1" applyFont="1" applyAlignment="1">
      <alignment horizontal="center"/>
    </xf>
    <xf numFmtId="0" fontId="0" fillId="0" borderId="0" xfId="0" applyFont="1"/>
    <xf numFmtId="1" fontId="3" fillId="0" borderId="1" xfId="0" applyNumberFormat="1" applyFont="1" applyBorder="1" applyAlignment="1">
      <alignment horizontal="center"/>
    </xf>
    <xf numFmtId="1" fontId="0" fillId="0" borderId="0" xfId="0" applyNumberFormat="1" applyFont="1" applyAlignment="1">
      <alignment horizontal="center"/>
    </xf>
    <xf numFmtId="0" fontId="0" fillId="0" borderId="0" xfId="0" applyAlignment="1">
      <alignment horizontal="center"/>
    </xf>
    <xf numFmtId="0" fontId="1" fillId="0" borderId="0" xfId="0" applyFont="1"/>
    <xf numFmtId="0" fontId="7" fillId="0" borderId="0" xfId="0" applyFont="1"/>
    <xf numFmtId="0" fontId="3" fillId="0" borderId="4" xfId="0" applyFont="1" applyBorder="1"/>
    <xf numFmtId="0" fontId="0" fillId="0" borderId="3" xfId="0" applyBorder="1"/>
    <xf numFmtId="0" fontId="0" fillId="0" borderId="3" xfId="0" applyFont="1" applyBorder="1"/>
    <xf numFmtId="0" fontId="8" fillId="0" borderId="0" xfId="4" applyAlignment="1">
      <alignment vertical="center"/>
    </xf>
    <xf numFmtId="0" fontId="3" fillId="0" borderId="1" xfId="0" applyFont="1" applyBorder="1" applyAlignment="1">
      <alignment wrapText="1"/>
    </xf>
    <xf numFmtId="0" fontId="3" fillId="0" borderId="1" xfId="0" applyFont="1" applyBorder="1" applyAlignment="1">
      <alignment horizontal="center" wrapText="1"/>
    </xf>
    <xf numFmtId="0" fontId="3" fillId="0" borderId="0" xfId="0" applyFont="1" applyAlignment="1">
      <alignment wrapText="1"/>
    </xf>
    <xf numFmtId="0" fontId="0" fillId="0" borderId="0" xfId="0" applyFont="1" applyAlignment="1">
      <alignment wrapText="1"/>
    </xf>
    <xf numFmtId="0" fontId="0" fillId="0" borderId="3" xfId="0" applyBorder="1" applyAlignment="1">
      <alignment horizontal="left"/>
    </xf>
    <xf numFmtId="0" fontId="7" fillId="0" borderId="0" xfId="0" applyFont="1" applyBorder="1"/>
    <xf numFmtId="0" fontId="2" fillId="0" borderId="0" xfId="0" applyFont="1"/>
    <xf numFmtId="0" fontId="7" fillId="0" borderId="0" xfId="0" applyFont="1" applyAlignment="1">
      <alignment horizontal="center"/>
    </xf>
    <xf numFmtId="1" fontId="7" fillId="0" borderId="3" xfId="0" applyNumberFormat="1" applyFont="1" applyBorder="1"/>
    <xf numFmtId="2" fontId="2"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1" fontId="2" fillId="0" borderId="1" xfId="0" applyNumberFormat="1" applyFont="1" applyBorder="1" applyAlignment="1">
      <alignment horizontal="center" vertical="center" wrapText="1"/>
    </xf>
    <xf numFmtId="1" fontId="7" fillId="0" borderId="0" xfId="0" applyNumberFormat="1" applyFont="1" applyAlignment="1">
      <alignment horizontal="center"/>
    </xf>
    <xf numFmtId="0" fontId="10" fillId="0" borderId="0" xfId="0" applyFont="1" applyBorder="1" applyAlignment="1">
      <alignment horizontal="left"/>
    </xf>
    <xf numFmtId="0" fontId="1" fillId="0" borderId="1" xfId="0" applyFont="1" applyBorder="1"/>
    <xf numFmtId="0" fontId="0" fillId="0" borderId="0" xfId="0" applyBorder="1" applyAlignment="1">
      <alignment horizontal="center"/>
    </xf>
    <xf numFmtId="0" fontId="13" fillId="0" borderId="1" xfId="0" applyFont="1" applyBorder="1" applyAlignment="1">
      <alignment wrapText="1"/>
    </xf>
    <xf numFmtId="0" fontId="0" fillId="0" borderId="0" xfId="0" applyAlignment="1">
      <alignment horizontal="left"/>
    </xf>
    <xf numFmtId="1" fontId="7" fillId="0" borderId="0" xfId="0" applyNumberFormat="1" applyFont="1" applyBorder="1"/>
    <xf numFmtId="0" fontId="2" fillId="0" borderId="7" xfId="0" applyFont="1" applyBorder="1" applyAlignment="1">
      <alignment horizontal="center" vertical="center" wrapText="1"/>
    </xf>
    <xf numFmtId="1" fontId="2" fillId="0" borderId="6" xfId="0" applyNumberFormat="1" applyFont="1" applyBorder="1" applyAlignment="1">
      <alignment horizontal="center"/>
    </xf>
    <xf numFmtId="0" fontId="0" fillId="0" borderId="6" xfId="0" applyBorder="1"/>
    <xf numFmtId="0" fontId="0" fillId="0" borderId="7" xfId="0" applyBorder="1"/>
    <xf numFmtId="1" fontId="0" fillId="0" borderId="11" xfId="0" applyNumberFormat="1" applyFont="1" applyBorder="1" applyAlignment="1">
      <alignment horizontal="center"/>
    </xf>
    <xf numFmtId="0" fontId="3" fillId="0" borderId="0" xfId="0" applyFont="1" applyAlignment="1">
      <alignment horizontal="left"/>
    </xf>
    <xf numFmtId="0" fontId="7" fillId="0" borderId="0" xfId="0" applyFont="1" applyAlignment="1">
      <alignment wrapText="1"/>
    </xf>
    <xf numFmtId="0" fontId="0" fillId="0" borderId="4" xfId="0" applyBorder="1"/>
    <xf numFmtId="0" fontId="0" fillId="0" borderId="3" xfId="0" applyFill="1" applyBorder="1"/>
    <xf numFmtId="0" fontId="0" fillId="0" borderId="0" xfId="0" applyFill="1" applyBorder="1"/>
    <xf numFmtId="0" fontId="14" fillId="0" borderId="0" xfId="5" applyFill="1" applyBorder="1"/>
    <xf numFmtId="1" fontId="2" fillId="0" borderId="0" xfId="0" applyNumberFormat="1" applyFont="1" applyBorder="1" applyAlignment="1">
      <alignment wrapText="1"/>
    </xf>
    <xf numFmtId="0" fontId="2" fillId="0" borderId="0" xfId="0" applyFont="1" applyBorder="1" applyAlignment="1">
      <alignment wrapText="1"/>
    </xf>
    <xf numFmtId="0" fontId="2" fillId="0" borderId="0" xfId="0" applyFont="1" applyBorder="1"/>
    <xf numFmtId="0" fontId="15" fillId="0" borderId="1" xfId="0" applyFont="1" applyBorder="1" applyAlignment="1">
      <alignment horizontal="left"/>
    </xf>
    <xf numFmtId="0" fontId="0" fillId="0" borderId="1" xfId="0" applyFont="1" applyBorder="1" applyAlignment="1">
      <alignment horizontal="center"/>
    </xf>
    <xf numFmtId="0" fontId="0" fillId="0" borderId="7" xfId="0" applyFont="1" applyBorder="1" applyAlignment="1">
      <alignment horizontal="center"/>
    </xf>
    <xf numFmtId="0" fontId="3" fillId="0" borderId="3" xfId="0" applyFont="1" applyFill="1" applyBorder="1"/>
    <xf numFmtId="0" fontId="3" fillId="0" borderId="0" xfId="0" applyFont="1" applyFill="1" applyBorder="1"/>
    <xf numFmtId="1" fontId="7" fillId="0" borderId="1" xfId="0" applyNumberFormat="1" applyFont="1" applyBorder="1"/>
    <xf numFmtId="0" fontId="3" fillId="0" borderId="3" xfId="0" applyFont="1" applyBorder="1"/>
    <xf numFmtId="0" fontId="0" fillId="0" borderId="4" xfId="0" applyFont="1" applyBorder="1"/>
    <xf numFmtId="0" fontId="7" fillId="0" borderId="1" xfId="0" applyFont="1" applyBorder="1"/>
    <xf numFmtId="0" fontId="7" fillId="0" borderId="0" xfId="0" applyFont="1" applyAlignment="1"/>
    <xf numFmtId="0" fontId="2" fillId="0" borderId="0" xfId="0" applyFont="1" applyAlignment="1"/>
    <xf numFmtId="0" fontId="0" fillId="0" borderId="0" xfId="0" applyBorder="1" applyAlignment="1">
      <alignment wrapText="1"/>
    </xf>
    <xf numFmtId="0" fontId="0" fillId="0" borderId="0" xfId="0" applyBorder="1" applyAlignment="1"/>
    <xf numFmtId="0" fontId="0" fillId="0" borderId="0" xfId="0" applyAlignment="1"/>
    <xf numFmtId="0" fontId="0" fillId="0" borderId="0" xfId="0" applyAlignment="1">
      <alignment wrapText="1"/>
    </xf>
    <xf numFmtId="0" fontId="0" fillId="0" borderId="9" xfId="0" applyBorder="1"/>
    <xf numFmtId="0" fontId="3" fillId="0" borderId="1" xfId="0" applyFont="1" applyFill="1" applyBorder="1" applyAlignment="1">
      <alignment horizontal="center" wrapText="1"/>
    </xf>
    <xf numFmtId="1" fontId="0" fillId="0" borderId="0" xfId="0" applyNumberFormat="1" applyFill="1" applyAlignment="1">
      <alignment horizontal="center"/>
    </xf>
    <xf numFmtId="0" fontId="0" fillId="0" borderId="0" xfId="0" applyFill="1" applyAlignment="1">
      <alignment horizontal="center"/>
    </xf>
    <xf numFmtId="1" fontId="3" fillId="0" borderId="0" xfId="0" applyNumberFormat="1" applyFont="1" applyFill="1" applyAlignment="1">
      <alignment horizontal="center"/>
    </xf>
    <xf numFmtId="0" fontId="0" fillId="0" borderId="0" xfId="0" applyFill="1" applyBorder="1" applyAlignment="1">
      <alignment horizontal="center"/>
    </xf>
    <xf numFmtId="0" fontId="0" fillId="0" borderId="0" xfId="0" applyAlignment="1"/>
    <xf numFmtId="0" fontId="4" fillId="0" borderId="1" xfId="0" applyFont="1" applyBorder="1"/>
    <xf numFmtId="0" fontId="3" fillId="0" borderId="4" xfId="0" applyFont="1" applyBorder="1" applyAlignment="1">
      <alignment horizontal="center"/>
    </xf>
    <xf numFmtId="0" fontId="0" fillId="0" borderId="3" xfId="0" applyBorder="1" applyAlignment="1">
      <alignment horizontal="center"/>
    </xf>
    <xf numFmtId="2" fontId="0" fillId="0" borderId="3" xfId="0" applyNumberFormat="1" applyBorder="1" applyAlignment="1">
      <alignment horizontal="center"/>
    </xf>
    <xf numFmtId="2" fontId="3" fillId="0" borderId="3" xfId="0" applyNumberFormat="1" applyFont="1" applyBorder="1" applyAlignment="1">
      <alignment horizontal="center"/>
    </xf>
    <xf numFmtId="2" fontId="0" fillId="0" borderId="4" xfId="0" applyNumberFormat="1" applyBorder="1" applyAlignment="1">
      <alignment horizontal="center"/>
    </xf>
    <xf numFmtId="167" fontId="0" fillId="0" borderId="0" xfId="0" applyNumberFormat="1" applyAlignment="1">
      <alignment horizontal="center"/>
    </xf>
    <xf numFmtId="0" fontId="12" fillId="0" borderId="3" xfId="4" applyFont="1" applyBorder="1"/>
    <xf numFmtId="2" fontId="0" fillId="0" borderId="1" xfId="0" applyNumberFormat="1" applyFont="1" applyBorder="1"/>
    <xf numFmtId="167" fontId="0" fillId="0" borderId="1" xfId="0" applyNumberFormat="1" applyFont="1" applyBorder="1" applyAlignment="1">
      <alignment horizontal="center"/>
    </xf>
    <xf numFmtId="167" fontId="0" fillId="0" borderId="0" xfId="0" applyNumberFormat="1" applyFont="1" applyAlignment="1">
      <alignment horizontal="center"/>
    </xf>
    <xf numFmtId="0" fontId="3" fillId="0" borderId="0" xfId="0" applyFont="1" applyBorder="1"/>
    <xf numFmtId="1" fontId="2" fillId="0" borderId="0" xfId="0" applyNumberFormat="1" applyFont="1" applyBorder="1"/>
    <xf numFmtId="0" fontId="0" fillId="0" borderId="3" xfId="0" applyFont="1" applyBorder="1" applyAlignment="1">
      <alignment horizontal="left"/>
    </xf>
    <xf numFmtId="0" fontId="0" fillId="0" borderId="0" xfId="0" applyFont="1" applyBorder="1" applyAlignment="1">
      <alignment horizontal="left"/>
    </xf>
    <xf numFmtId="167" fontId="3" fillId="4" borderId="0" xfId="0" applyNumberFormat="1" applyFont="1" applyFill="1" applyAlignment="1">
      <alignment horizontal="center"/>
    </xf>
    <xf numFmtId="1" fontId="2" fillId="0" borderId="1" xfId="0" applyNumberFormat="1" applyFont="1" applyBorder="1"/>
    <xf numFmtId="0" fontId="4" fillId="0" borderId="7" xfId="0" applyFont="1" applyBorder="1"/>
    <xf numFmtId="0" fontId="2" fillId="0" borderId="3" xfId="0" applyFont="1" applyBorder="1"/>
    <xf numFmtId="0" fontId="1" fillId="0" borderId="9" xfId="0" applyFont="1" applyBorder="1"/>
    <xf numFmtId="0" fontId="17" fillId="4" borderId="0" xfId="0" applyFont="1" applyFill="1" applyAlignment="1">
      <alignment horizontal="center"/>
    </xf>
    <xf numFmtId="0" fontId="4" fillId="0" borderId="1" xfId="0" applyFont="1" applyBorder="1" applyAlignment="1">
      <alignment horizontal="left"/>
    </xf>
    <xf numFmtId="0" fontId="1" fillId="0" borderId="1" xfId="0" applyFont="1" applyBorder="1" applyAlignment="1">
      <alignment horizontal="left"/>
    </xf>
    <xf numFmtId="0" fontId="0" fillId="0" borderId="4" xfId="0" applyFont="1" applyBorder="1" applyAlignment="1">
      <alignment horizontal="center"/>
    </xf>
    <xf numFmtId="0" fontId="8" fillId="0" borderId="3" xfId="4" applyBorder="1"/>
    <xf numFmtId="0" fontId="7" fillId="0" borderId="3" xfId="0" applyFont="1" applyBorder="1"/>
    <xf numFmtId="0" fontId="7" fillId="0" borderId="3" xfId="0" applyFont="1" applyFill="1" applyBorder="1"/>
    <xf numFmtId="0" fontId="7" fillId="0" borderId="4" xfId="0" applyFont="1" applyBorder="1"/>
    <xf numFmtId="0" fontId="7" fillId="0" borderId="13" xfId="0" applyFont="1" applyBorder="1"/>
    <xf numFmtId="0" fontId="23" fillId="0" borderId="0" xfId="0" applyFont="1"/>
    <xf numFmtId="168" fontId="23" fillId="0" borderId="0" xfId="0" applyNumberFormat="1" applyFont="1"/>
    <xf numFmtId="168" fontId="0" fillId="0" borderId="0" xfId="0" applyNumberFormat="1" applyAlignment="1">
      <alignment horizontal="right" vertical="center" wrapText="1"/>
    </xf>
    <xf numFmtId="168" fontId="0" fillId="0" borderId="0" xfId="0" applyNumberFormat="1"/>
    <xf numFmtId="49" fontId="0" fillId="0" borderId="0" xfId="0" applyNumberFormat="1" applyAlignment="1">
      <alignment horizontal="center"/>
    </xf>
    <xf numFmtId="0" fontId="23" fillId="0" borderId="0" xfId="0" applyFont="1" applyAlignment="1">
      <alignment horizontal="left"/>
    </xf>
    <xf numFmtId="9" fontId="23" fillId="0" borderId="0" xfId="0" applyNumberFormat="1" applyFont="1"/>
    <xf numFmtId="167" fontId="23" fillId="0" borderId="0" xfId="0" applyNumberFormat="1" applyFont="1"/>
    <xf numFmtId="167" fontId="0" fillId="0" borderId="0" xfId="0" applyNumberFormat="1"/>
    <xf numFmtId="167" fontId="3" fillId="0" borderId="0" xfId="0" applyNumberFormat="1" applyFont="1"/>
    <xf numFmtId="49" fontId="0" fillId="0" borderId="1" xfId="0" applyNumberFormat="1" applyBorder="1" applyAlignment="1">
      <alignment horizontal="center"/>
    </xf>
    <xf numFmtId="168" fontId="0" fillId="0" borderId="1" xfId="0" applyNumberFormat="1" applyBorder="1"/>
    <xf numFmtId="168" fontId="0" fillId="0" borderId="5" xfId="0" applyNumberFormat="1" applyBorder="1" applyAlignment="1">
      <alignment horizontal="right" vertical="center" wrapText="1"/>
    </xf>
    <xf numFmtId="168" fontId="0" fillId="0" borderId="10" xfId="0" applyNumberFormat="1" applyBorder="1"/>
    <xf numFmtId="9" fontId="23" fillId="0" borderId="5" xfId="0" applyNumberFormat="1" applyFont="1" applyBorder="1"/>
    <xf numFmtId="168" fontId="0" fillId="0" borderId="5" xfId="0" applyNumberFormat="1" applyBorder="1"/>
    <xf numFmtId="0" fontId="23" fillId="0" borderId="3" xfId="0" applyFont="1" applyBorder="1"/>
    <xf numFmtId="9" fontId="0" fillId="0" borderId="0" xfId="0" applyNumberFormat="1" applyFill="1" applyBorder="1" applyAlignment="1">
      <alignment horizontal="right" vertical="center" wrapText="1"/>
    </xf>
    <xf numFmtId="49" fontId="23" fillId="0" borderId="1" xfId="0" applyNumberFormat="1" applyFont="1" applyBorder="1" applyAlignment="1">
      <alignment horizontal="center" vertical="center" wrapText="1"/>
    </xf>
    <xf numFmtId="168" fontId="23" fillId="0" borderId="1" xfId="0" applyNumberFormat="1" applyFont="1" applyBorder="1" applyAlignment="1">
      <alignment horizontal="center" vertical="center" wrapText="1"/>
    </xf>
    <xf numFmtId="49" fontId="23" fillId="0" borderId="10" xfId="4" applyNumberFormat="1" applyFont="1" applyBorder="1" applyAlignment="1">
      <alignment horizontal="center" vertical="center" wrapText="1"/>
    </xf>
    <xf numFmtId="168" fontId="23" fillId="0" borderId="1" xfId="0" applyNumberFormat="1" applyFont="1" applyFill="1" applyBorder="1" applyAlignment="1">
      <alignment horizontal="center" vertical="center" wrapText="1"/>
    </xf>
    <xf numFmtId="0" fontId="0" fillId="0" borderId="0" xfId="0" applyBorder="1" applyAlignment="1">
      <alignment horizontal="center"/>
    </xf>
    <xf numFmtId="0" fontId="7" fillId="0" borderId="0" xfId="0" applyFont="1" applyAlignment="1" applyProtection="1">
      <protection locked="0"/>
    </xf>
    <xf numFmtId="0" fontId="7" fillId="0" borderId="0" xfId="0" applyFont="1" applyAlignment="1" applyProtection="1">
      <alignment wrapText="1"/>
      <protection locked="0"/>
    </xf>
    <xf numFmtId="0" fontId="2" fillId="0" borderId="0" xfId="0" applyFont="1" applyAlignment="1" applyProtection="1">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6" xfId="0" applyFont="1" applyBorder="1" applyAlignment="1" applyProtection="1">
      <alignment horizontal="center" vertical="center"/>
      <protection locked="0"/>
    </xf>
    <xf numFmtId="0" fontId="3" fillId="0" borderId="0" xfId="0" applyFont="1" applyAlignment="1" applyProtection="1">
      <alignment wrapText="1"/>
      <protection locked="0"/>
    </xf>
    <xf numFmtId="0" fontId="3" fillId="0" borderId="0" xfId="0" applyFont="1" applyAlignment="1" applyProtection="1">
      <alignment horizontal="center" wrapText="1"/>
      <protection locked="0"/>
    </xf>
    <xf numFmtId="9" fontId="3" fillId="0" borderId="3" xfId="0" applyNumberFormat="1" applyFont="1" applyBorder="1" applyAlignment="1" applyProtection="1">
      <alignment horizontal="center" vertical="center" wrapText="1"/>
      <protection locked="0"/>
    </xf>
    <xf numFmtId="0" fontId="3" fillId="0" borderId="6" xfId="0" applyFont="1" applyBorder="1" applyAlignment="1" applyProtection="1">
      <alignment horizontal="center" vertical="center" wrapText="1"/>
      <protection locked="0"/>
    </xf>
    <xf numFmtId="0" fontId="3" fillId="0" borderId="5" xfId="0" applyFont="1" applyBorder="1" applyAlignment="1" applyProtection="1">
      <alignment horizontal="center" vertical="center" wrapText="1"/>
      <protection locked="0"/>
    </xf>
    <xf numFmtId="0" fontId="3" fillId="0" borderId="1" xfId="0" applyFont="1" applyBorder="1" applyProtection="1">
      <protection locked="0"/>
    </xf>
    <xf numFmtId="0" fontId="0" fillId="0" borderId="1" xfId="0" applyBorder="1" applyProtection="1">
      <protection locked="0"/>
    </xf>
    <xf numFmtId="0" fontId="3" fillId="0" borderId="1" xfId="0" applyFont="1" applyBorder="1" applyAlignment="1" applyProtection="1">
      <alignment wrapText="1"/>
      <protection locked="0"/>
    </xf>
    <xf numFmtId="2" fontId="3" fillId="0" borderId="1" xfId="0" applyNumberFormat="1" applyFont="1" applyBorder="1" applyAlignment="1" applyProtection="1">
      <alignment horizontal="center" wrapText="1"/>
      <protection locked="0"/>
    </xf>
    <xf numFmtId="1" fontId="3" fillId="0" borderId="4" xfId="0" applyNumberFormat="1" applyFont="1" applyBorder="1" applyAlignment="1" applyProtection="1">
      <alignment wrapText="1"/>
      <protection locked="0"/>
    </xf>
    <xf numFmtId="0" fontId="3" fillId="0" borderId="7" xfId="0" applyFont="1" applyBorder="1" applyAlignment="1" applyProtection="1">
      <alignment wrapText="1"/>
      <protection locked="0"/>
    </xf>
    <xf numFmtId="0" fontId="3" fillId="0" borderId="10" xfId="0" applyFont="1" applyBorder="1" applyAlignment="1" applyProtection="1">
      <alignment horizontal="center" wrapText="1"/>
      <protection locked="0"/>
    </xf>
    <xf numFmtId="167" fontId="12" fillId="0" borderId="0" xfId="4" applyNumberFormat="1" applyFont="1" applyBorder="1" applyProtection="1">
      <protection locked="0"/>
    </xf>
    <xf numFmtId="0" fontId="0" fillId="0" borderId="0" xfId="0" applyProtection="1">
      <protection locked="0"/>
    </xf>
    <xf numFmtId="0" fontId="0" fillId="0" borderId="0" xfId="0" applyAlignment="1" applyProtection="1">
      <alignment wrapText="1"/>
      <protection locked="0"/>
    </xf>
    <xf numFmtId="2" fontId="0" fillId="0" borderId="0" xfId="0" applyNumberFormat="1" applyAlignment="1" applyProtection="1">
      <alignment horizontal="center"/>
      <protection locked="0"/>
    </xf>
    <xf numFmtId="1" fontId="0" fillId="0" borderId="3" xfId="0" applyNumberFormat="1" applyBorder="1" applyProtection="1">
      <protection locked="0"/>
    </xf>
    <xf numFmtId="1" fontId="0" fillId="0" borderId="6" xfId="0" applyNumberFormat="1" applyBorder="1" applyProtection="1">
      <protection locked="0"/>
    </xf>
    <xf numFmtId="0" fontId="0" fillId="0" borderId="5" xfId="0" applyBorder="1" applyAlignment="1" applyProtection="1">
      <alignment horizontal="center"/>
      <protection locked="0"/>
    </xf>
    <xf numFmtId="167" fontId="7" fillId="0" borderId="0" xfId="0" applyNumberFormat="1" applyFont="1" applyBorder="1" applyProtection="1">
      <protection locked="0"/>
    </xf>
    <xf numFmtId="0" fontId="7" fillId="0" borderId="0" xfId="0" applyFont="1" applyProtection="1">
      <protection locked="0"/>
    </xf>
    <xf numFmtId="167" fontId="0" fillId="0" borderId="0" xfId="0" applyNumberFormat="1" applyFont="1" applyBorder="1" applyProtection="1">
      <protection locked="0"/>
    </xf>
    <xf numFmtId="2" fontId="0" fillId="0" borderId="1" xfId="0" applyNumberFormat="1" applyBorder="1" applyAlignment="1" applyProtection="1">
      <alignment horizontal="center"/>
      <protection locked="0"/>
    </xf>
    <xf numFmtId="1" fontId="0" fillId="0" borderId="4" xfId="0" applyNumberFormat="1" applyBorder="1" applyProtection="1">
      <protection locked="0"/>
    </xf>
    <xf numFmtId="1" fontId="0" fillId="0" borderId="7" xfId="0" applyNumberFormat="1" applyBorder="1" applyProtection="1">
      <protection locked="0"/>
    </xf>
    <xf numFmtId="0" fontId="0" fillId="0" borderId="10" xfId="0" applyBorder="1" applyAlignment="1" applyProtection="1">
      <alignment horizontal="center"/>
      <protection locked="0"/>
    </xf>
    <xf numFmtId="1" fontId="3" fillId="0" borderId="3" xfId="0" applyNumberFormat="1" applyFont="1" applyBorder="1" applyProtection="1">
      <protection locked="0"/>
    </xf>
    <xf numFmtId="1" fontId="3" fillId="4" borderId="8" xfId="0" applyNumberFormat="1" applyFont="1" applyFill="1" applyBorder="1" applyProtection="1">
      <protection locked="0"/>
    </xf>
    <xf numFmtId="0" fontId="9" fillId="0" borderId="0" xfId="4" applyFont="1" applyBorder="1" applyProtection="1">
      <protection locked="0"/>
    </xf>
    <xf numFmtId="1" fontId="3" fillId="0" borderId="6" xfId="0" applyNumberFormat="1" applyFont="1" applyFill="1" applyBorder="1" applyProtection="1">
      <protection locked="0"/>
    </xf>
    <xf numFmtId="0" fontId="10" fillId="0" borderId="0" xfId="4" applyFont="1" applyBorder="1" applyProtection="1">
      <protection locked="0"/>
    </xf>
    <xf numFmtId="0" fontId="0" fillId="0" borderId="0" xfId="0" applyAlignment="1" applyProtection="1">
      <alignment horizontal="center"/>
      <protection locked="0"/>
    </xf>
    <xf numFmtId="0" fontId="0" fillId="0" borderId="3" xfId="0" applyBorder="1" applyProtection="1">
      <protection locked="0"/>
    </xf>
    <xf numFmtId="0" fontId="7" fillId="0" borderId="0" xfId="0" applyFont="1" applyBorder="1" applyProtection="1">
      <protection locked="0"/>
    </xf>
    <xf numFmtId="0" fontId="0" fillId="0" borderId="0" xfId="0" applyBorder="1" applyProtection="1">
      <protection locked="0"/>
    </xf>
    <xf numFmtId="1" fontId="0" fillId="0" borderId="0" xfId="0" applyNumberFormat="1" applyBorder="1" applyProtection="1">
      <protection locked="0"/>
    </xf>
    <xf numFmtId="0" fontId="0" fillId="0" borderId="6" xfId="0" applyBorder="1" applyAlignment="1" applyProtection="1">
      <alignment horizontal="center"/>
      <protection locked="0"/>
    </xf>
    <xf numFmtId="165" fontId="0" fillId="0" borderId="6" xfId="1" applyNumberFormat="1" applyFont="1" applyBorder="1" applyAlignment="1" applyProtection="1">
      <alignment horizontal="center"/>
      <protection locked="0"/>
    </xf>
    <xf numFmtId="0" fontId="3" fillId="0" borderId="1" xfId="0" applyFont="1" applyBorder="1" applyAlignment="1" applyProtection="1">
      <alignment horizontal="center"/>
      <protection locked="0"/>
    </xf>
    <xf numFmtId="164" fontId="3" fillId="0" borderId="1" xfId="1" applyFont="1" applyBorder="1" applyAlignment="1" applyProtection="1">
      <alignment horizontal="center" wrapText="1"/>
      <protection locked="0"/>
    </xf>
    <xf numFmtId="0" fontId="0" fillId="0" borderId="1" xfId="0" applyBorder="1" applyAlignment="1" applyProtection="1">
      <alignment wrapText="1"/>
      <protection locked="0"/>
    </xf>
    <xf numFmtId="0" fontId="3" fillId="0" borderId="7" xfId="0" applyFont="1" applyBorder="1" applyAlignment="1" applyProtection="1">
      <alignment horizontal="center" wrapText="1"/>
      <protection locked="0"/>
    </xf>
    <xf numFmtId="2" fontId="0" fillId="0" borderId="6" xfId="0" applyNumberFormat="1" applyBorder="1" applyAlignment="1" applyProtection="1">
      <alignment horizontal="center"/>
      <protection locked="0"/>
    </xf>
    <xf numFmtId="0" fontId="12" fillId="0" borderId="0" xfId="4" applyFont="1" applyProtection="1">
      <protection locked="0"/>
    </xf>
    <xf numFmtId="0" fontId="9" fillId="0" borderId="0" xfId="4" applyFont="1" applyProtection="1">
      <protection locked="0"/>
    </xf>
    <xf numFmtId="9" fontId="0" fillId="0" borderId="0" xfId="0" applyNumberFormat="1" applyProtection="1">
      <protection locked="0"/>
    </xf>
    <xf numFmtId="11" fontId="0" fillId="0" borderId="0" xfId="1" applyNumberFormat="1" applyFont="1" applyBorder="1" applyAlignment="1" applyProtection="1">
      <protection locked="0"/>
    </xf>
    <xf numFmtId="11" fontId="0" fillId="0" borderId="0" xfId="0" applyNumberFormat="1" applyProtection="1">
      <protection locked="0"/>
    </xf>
    <xf numFmtId="0" fontId="0" fillId="0" borderId="1" xfId="0" applyBorder="1" applyAlignment="1" applyProtection="1">
      <alignment horizontal="center"/>
      <protection locked="0"/>
    </xf>
    <xf numFmtId="0" fontId="0" fillId="0" borderId="1" xfId="0" applyFont="1" applyBorder="1" applyProtection="1">
      <protection locked="0"/>
    </xf>
    <xf numFmtId="2" fontId="0" fillId="0" borderId="7" xfId="0" applyNumberFormat="1" applyBorder="1" applyAlignment="1" applyProtection="1">
      <alignment horizontal="center"/>
      <protection locked="0"/>
    </xf>
    <xf numFmtId="165" fontId="0" fillId="0" borderId="0" xfId="1" applyNumberFormat="1" applyFont="1" applyBorder="1" applyAlignment="1" applyProtection="1">
      <protection locked="0"/>
    </xf>
    <xf numFmtId="0" fontId="3" fillId="0" borderId="0" xfId="0" applyFont="1" applyAlignment="1" applyProtection="1">
      <alignment horizontal="right"/>
      <protection locked="0"/>
    </xf>
    <xf numFmtId="2" fontId="3" fillId="0" borderId="6" xfId="0" applyNumberFormat="1" applyFont="1" applyBorder="1" applyAlignment="1" applyProtection="1">
      <alignment horizontal="center"/>
      <protection locked="0"/>
    </xf>
    <xf numFmtId="0" fontId="0" fillId="0" borderId="6" xfId="0" applyBorder="1" applyAlignment="1" applyProtection="1">
      <alignment horizontal="left"/>
      <protection locked="0"/>
    </xf>
    <xf numFmtId="164" fontId="0" fillId="0" borderId="0" xfId="1" applyFont="1" applyBorder="1" applyAlignment="1" applyProtection="1">
      <protection locked="0"/>
    </xf>
    <xf numFmtId="49" fontId="3" fillId="0" borderId="1" xfId="0" applyNumberFormat="1" applyFont="1" applyBorder="1" applyAlignment="1" applyProtection="1">
      <alignment wrapText="1"/>
      <protection locked="0"/>
    </xf>
    <xf numFmtId="9" fontId="0" fillId="0" borderId="7" xfId="0" applyNumberFormat="1" applyBorder="1" applyAlignment="1" applyProtection="1">
      <alignment horizontal="center"/>
      <protection locked="0"/>
    </xf>
    <xf numFmtId="164" fontId="16" fillId="0" borderId="0" xfId="4" applyNumberFormat="1" applyFont="1" applyProtection="1">
      <protection locked="0"/>
    </xf>
    <xf numFmtId="0" fontId="3" fillId="0" borderId="2" xfId="0" applyFont="1" applyBorder="1" applyProtection="1">
      <protection locked="0"/>
    </xf>
    <xf numFmtId="2" fontId="0" fillId="0" borderId="0" xfId="0" applyNumberFormat="1" applyAlignment="1" applyProtection="1">
      <alignment horizontal="center" wrapText="1"/>
      <protection locked="0"/>
    </xf>
    <xf numFmtId="11" fontId="0" fillId="0" borderId="0" xfId="0" applyNumberFormat="1" applyFont="1" applyAlignment="1" applyProtection="1">
      <alignment horizontal="center" wrapText="1"/>
      <protection locked="0"/>
    </xf>
    <xf numFmtId="0" fontId="3" fillId="0" borderId="0" xfId="0" applyFont="1" applyAlignment="1" applyProtection="1">
      <alignment horizontal="right" wrapText="1"/>
      <protection locked="0"/>
    </xf>
    <xf numFmtId="0" fontId="0" fillId="0" borderId="0" xfId="0" applyAlignment="1" applyProtection="1">
      <alignment horizontal="center" wrapText="1"/>
      <protection locked="0"/>
    </xf>
    <xf numFmtId="0" fontId="3" fillId="0" borderId="4" xfId="0" applyFont="1" applyBorder="1" applyProtection="1">
      <protection locked="0"/>
    </xf>
    <xf numFmtId="0" fontId="3" fillId="0" borderId="1" xfId="0" applyFont="1" applyBorder="1" applyAlignment="1" applyProtection="1">
      <alignment horizontal="center" wrapText="1"/>
      <protection locked="0"/>
    </xf>
    <xf numFmtId="0" fontId="0" fillId="0" borderId="3" xfId="0" applyBorder="1" applyAlignment="1" applyProtection="1">
      <alignment horizontal="right"/>
      <protection locked="0"/>
    </xf>
    <xf numFmtId="0" fontId="3" fillId="0" borderId="0" xfId="0" applyFont="1" applyBorder="1" applyAlignment="1" applyProtection="1">
      <alignment horizontal="center" wrapText="1"/>
      <protection locked="0"/>
    </xf>
    <xf numFmtId="2" fontId="0" fillId="0" borderId="9" xfId="0" applyNumberFormat="1" applyFont="1" applyBorder="1" applyAlignment="1" applyProtection="1">
      <alignment horizontal="center" wrapText="1"/>
      <protection locked="0"/>
    </xf>
    <xf numFmtId="2" fontId="0" fillId="0" borderId="0" xfId="1" applyNumberFormat="1" applyFont="1" applyBorder="1" applyAlignment="1" applyProtection="1">
      <alignment horizontal="center"/>
      <protection locked="0"/>
    </xf>
    <xf numFmtId="1" fontId="3" fillId="0" borderId="0" xfId="0" applyNumberFormat="1" applyFont="1" applyAlignment="1" applyProtection="1">
      <alignment horizontal="center"/>
      <protection locked="0"/>
    </xf>
    <xf numFmtId="0" fontId="0" fillId="0" borderId="0" xfId="0" applyFont="1" applyProtection="1">
      <protection locked="0"/>
    </xf>
    <xf numFmtId="2" fontId="0" fillId="0" borderId="1" xfId="0" applyNumberFormat="1" applyFont="1" applyBorder="1" applyAlignment="1" applyProtection="1">
      <alignment horizontal="center"/>
      <protection locked="0"/>
    </xf>
    <xf numFmtId="1" fontId="3" fillId="0" borderId="1" xfId="0" applyNumberFormat="1" applyFont="1" applyBorder="1" applyAlignment="1" applyProtection="1">
      <alignment horizontal="center"/>
      <protection locked="0"/>
    </xf>
    <xf numFmtId="2" fontId="3" fillId="0" borderId="0" xfId="0" applyNumberFormat="1" applyFont="1" applyAlignment="1" applyProtection="1">
      <alignment horizontal="center"/>
      <protection locked="0"/>
    </xf>
    <xf numFmtId="2" fontId="0" fillId="0" borderId="0" xfId="0" applyNumberFormat="1" applyFont="1" applyAlignment="1" applyProtection="1">
      <alignment horizontal="center"/>
      <protection locked="0"/>
    </xf>
    <xf numFmtId="1" fontId="3" fillId="0" borderId="9" xfId="0" applyNumberFormat="1" applyFont="1" applyBorder="1" applyAlignment="1" applyProtection="1">
      <alignment horizontal="center"/>
      <protection locked="0"/>
    </xf>
    <xf numFmtId="0" fontId="0" fillId="0" borderId="0" xfId="0" applyFont="1" applyAlignment="1" applyProtection="1">
      <alignment horizontal="center"/>
      <protection locked="0"/>
    </xf>
    <xf numFmtId="1" fontId="3" fillId="4" borderId="0" xfId="0" applyNumberFormat="1" applyFont="1" applyFill="1" applyBorder="1" applyAlignment="1" applyProtection="1">
      <alignment horizontal="center"/>
      <protection locked="0"/>
    </xf>
    <xf numFmtId="1" fontId="0" fillId="0" borderId="3" xfId="0" applyNumberFormat="1" applyFont="1" applyBorder="1" applyProtection="1">
      <protection locked="0"/>
    </xf>
    <xf numFmtId="1" fontId="0" fillId="0" borderId="0" xfId="0" applyNumberFormat="1" applyAlignment="1" applyProtection="1">
      <alignment horizontal="center"/>
      <protection locked="0"/>
    </xf>
    <xf numFmtId="1" fontId="0" fillId="0" borderId="0" xfId="0" applyNumberFormat="1" applyFont="1" applyAlignment="1" applyProtection="1">
      <alignment horizontal="center"/>
      <protection locked="0"/>
    </xf>
    <xf numFmtId="0" fontId="0" fillId="0" borderId="3" xfId="0" applyFont="1" applyBorder="1" applyProtection="1">
      <protection locked="0"/>
    </xf>
    <xf numFmtId="2" fontId="3" fillId="0" borderId="1" xfId="0" applyNumberFormat="1" applyFont="1" applyBorder="1" applyAlignment="1" applyProtection="1">
      <alignment horizontal="center"/>
      <protection locked="0"/>
    </xf>
    <xf numFmtId="1" fontId="0" fillId="0" borderId="1" xfId="0" applyNumberFormat="1" applyFont="1" applyBorder="1" applyAlignment="1" applyProtection="1">
      <alignment horizontal="center"/>
      <protection locked="0"/>
    </xf>
    <xf numFmtId="1" fontId="3" fillId="0" borderId="0" xfId="0" applyNumberFormat="1" applyFont="1" applyProtection="1">
      <protection locked="0"/>
    </xf>
    <xf numFmtId="1" fontId="3" fillId="0" borderId="2" xfId="0" applyNumberFormat="1" applyFont="1" applyBorder="1" applyAlignment="1" applyProtection="1">
      <alignment horizontal="center"/>
      <protection locked="0"/>
    </xf>
    <xf numFmtId="0" fontId="7" fillId="0" borderId="0" xfId="0" applyFont="1" applyAlignment="1" applyProtection="1">
      <alignment horizontal="center"/>
      <protection locked="0"/>
    </xf>
    <xf numFmtId="1" fontId="7" fillId="0" borderId="0" xfId="0" applyNumberFormat="1" applyFont="1" applyProtection="1">
      <protection locked="0"/>
    </xf>
    <xf numFmtId="2" fontId="2" fillId="0" borderId="0" xfId="0" applyNumberFormat="1" applyFont="1" applyAlignment="1" applyProtection="1">
      <alignment horizontal="center"/>
      <protection locked="0"/>
    </xf>
    <xf numFmtId="1" fontId="7" fillId="0" borderId="3" xfId="0" applyNumberFormat="1" applyFont="1" applyBorder="1" applyProtection="1">
      <protection locked="0"/>
    </xf>
    <xf numFmtId="0" fontId="1" fillId="0" borderId="0" xfId="0" applyFont="1" applyProtection="1">
      <protection locked="0"/>
    </xf>
    <xf numFmtId="0" fontId="2" fillId="0" borderId="0" xfId="0" applyFont="1" applyProtection="1">
      <protection locked="0"/>
    </xf>
    <xf numFmtId="2" fontId="0" fillId="0" borderId="9" xfId="0" applyNumberFormat="1" applyFont="1" applyBorder="1" applyAlignment="1" applyProtection="1">
      <alignment horizontal="center" vertical="center" wrapText="1"/>
      <protection locked="0"/>
    </xf>
    <xf numFmtId="0" fontId="0" fillId="0" borderId="3" xfId="0" applyBorder="1" applyAlignment="1" applyProtection="1">
      <alignment horizontal="left"/>
      <protection locked="0"/>
    </xf>
    <xf numFmtId="1" fontId="3" fillId="0" borderId="0" xfId="0" applyNumberFormat="1" applyFont="1" applyBorder="1" applyAlignment="1" applyProtection="1">
      <alignment horizontal="center"/>
      <protection locked="0"/>
    </xf>
    <xf numFmtId="1" fontId="0" fillId="0" borderId="0" xfId="0" applyNumberFormat="1" applyFont="1" applyProtection="1">
      <protection locked="0"/>
    </xf>
    <xf numFmtId="1" fontId="0" fillId="0" borderId="0" xfId="0" applyNumberFormat="1" applyFont="1" applyBorder="1" applyAlignment="1" applyProtection="1">
      <alignment horizontal="center"/>
      <protection locked="0"/>
    </xf>
    <xf numFmtId="0" fontId="0" fillId="0" borderId="0" xfId="0" applyFont="1" applyBorder="1" applyProtection="1">
      <protection locked="0"/>
    </xf>
    <xf numFmtId="1" fontId="0" fillId="0" borderId="0" xfId="0" applyNumberFormat="1" applyFont="1" applyBorder="1" applyProtection="1">
      <protection locked="0"/>
    </xf>
    <xf numFmtId="1" fontId="3" fillId="0" borderId="6" xfId="0" applyNumberFormat="1" applyFont="1" applyBorder="1" applyAlignment="1" applyProtection="1">
      <alignment horizontal="center"/>
      <protection locked="0"/>
    </xf>
    <xf numFmtId="0" fontId="3" fillId="0" borderId="9" xfId="0" applyFont="1" applyBorder="1" applyAlignment="1" applyProtection="1">
      <alignment wrapText="1"/>
      <protection locked="0"/>
    </xf>
    <xf numFmtId="0" fontId="1" fillId="0" borderId="9" xfId="0" applyFont="1" applyBorder="1" applyAlignment="1" applyProtection="1">
      <alignment horizontal="center"/>
      <protection locked="0"/>
    </xf>
    <xf numFmtId="1" fontId="1" fillId="0" borderId="9" xfId="0" applyNumberFormat="1" applyFont="1" applyBorder="1" applyProtection="1">
      <protection locked="0"/>
    </xf>
    <xf numFmtId="2" fontId="4" fillId="0" borderId="9" xfId="0" applyNumberFormat="1" applyFont="1" applyBorder="1" applyAlignment="1" applyProtection="1">
      <alignment horizontal="center"/>
      <protection locked="0"/>
    </xf>
    <xf numFmtId="1" fontId="4" fillId="4" borderId="14" xfId="0" applyNumberFormat="1" applyFont="1" applyFill="1" applyBorder="1" applyAlignment="1" applyProtection="1">
      <alignment horizontal="center"/>
      <protection locked="0"/>
    </xf>
    <xf numFmtId="1" fontId="4" fillId="0" borderId="11" xfId="0" applyNumberFormat="1" applyFont="1" applyBorder="1" applyAlignment="1" applyProtection="1">
      <alignment horizontal="center"/>
      <protection locked="0"/>
    </xf>
    <xf numFmtId="1" fontId="1" fillId="0" borderId="3" xfId="0" applyNumberFormat="1" applyFont="1" applyBorder="1" applyProtection="1">
      <protection locked="0"/>
    </xf>
    <xf numFmtId="0" fontId="0" fillId="0" borderId="0" xfId="0" applyFont="1" applyAlignment="1" applyProtection="1">
      <alignment wrapText="1"/>
      <protection locked="0"/>
    </xf>
    <xf numFmtId="0" fontId="1" fillId="0" borderId="0" xfId="0" applyFont="1" applyAlignment="1" applyProtection="1">
      <alignment horizontal="center"/>
      <protection locked="0"/>
    </xf>
    <xf numFmtId="1" fontId="1" fillId="0" borderId="0" xfId="0" applyNumberFormat="1" applyFont="1" applyProtection="1">
      <protection locked="0"/>
    </xf>
    <xf numFmtId="2" fontId="1" fillId="0" borderId="0" xfId="0" applyNumberFormat="1" applyFont="1" applyAlignment="1" applyProtection="1">
      <alignment horizontal="center"/>
      <protection locked="0"/>
    </xf>
    <xf numFmtId="1" fontId="1" fillId="0" borderId="0" xfId="0" applyNumberFormat="1" applyFont="1" applyBorder="1" applyProtection="1">
      <protection locked="0"/>
    </xf>
    <xf numFmtId="0" fontId="0" fillId="0" borderId="0" xfId="0" applyBorder="1" applyAlignment="1" applyProtection="1">
      <alignment wrapText="1"/>
      <protection locked="0"/>
    </xf>
    <xf numFmtId="164" fontId="0" fillId="0" borderId="0" xfId="0" applyNumberFormat="1" applyBorder="1" applyAlignment="1" applyProtection="1">
      <alignment horizontal="center"/>
      <protection locked="0"/>
    </xf>
    <xf numFmtId="0" fontId="4" fillId="0" borderId="1" xfId="0" applyFont="1" applyBorder="1" applyAlignment="1" applyProtection="1">
      <alignment wrapText="1"/>
      <protection locked="0"/>
    </xf>
    <xf numFmtId="0" fontId="3" fillId="0" borderId="7" xfId="0" applyFont="1" applyBorder="1" applyAlignment="1" applyProtection="1">
      <alignment horizontal="center" vertical="center" wrapText="1"/>
      <protection locked="0"/>
    </xf>
    <xf numFmtId="0" fontId="3" fillId="0" borderId="10" xfId="0" applyFont="1" applyBorder="1" applyAlignment="1" applyProtection="1">
      <alignment horizontal="center"/>
      <protection locked="0"/>
    </xf>
    <xf numFmtId="1" fontId="3" fillId="0" borderId="4" xfId="0" applyNumberFormat="1" applyFont="1" applyBorder="1" applyProtection="1">
      <protection locked="0"/>
    </xf>
    <xf numFmtId="9" fontId="0" fillId="0" borderId="6" xfId="0" applyNumberFormat="1" applyBorder="1" applyProtection="1">
      <protection locked="0"/>
    </xf>
    <xf numFmtId="2" fontId="0" fillId="0" borderId="5" xfId="0" applyNumberFormat="1" applyBorder="1" applyAlignment="1" applyProtection="1">
      <alignment horizontal="center"/>
      <protection locked="0"/>
    </xf>
    <xf numFmtId="0" fontId="8" fillId="0" borderId="0" xfId="4" applyBorder="1" applyProtection="1">
      <protection locked="0"/>
    </xf>
    <xf numFmtId="9" fontId="0" fillId="0" borderId="7" xfId="0" applyNumberFormat="1" applyBorder="1" applyProtection="1">
      <protection locked="0"/>
    </xf>
    <xf numFmtId="2" fontId="0" fillId="0" borderId="10" xfId="0" applyNumberFormat="1" applyBorder="1" applyAlignment="1" applyProtection="1">
      <alignment horizontal="center"/>
      <protection locked="0"/>
    </xf>
    <xf numFmtId="0" fontId="7" fillId="0" borderId="4" xfId="0" applyFont="1" applyFill="1" applyBorder="1" applyProtection="1">
      <protection locked="0"/>
    </xf>
    <xf numFmtId="11" fontId="0" fillId="0" borderId="1" xfId="1" applyNumberFormat="1" applyFont="1" applyBorder="1" applyAlignment="1" applyProtection="1">
      <protection locked="0"/>
    </xf>
    <xf numFmtId="165" fontId="0" fillId="0" borderId="6" xfId="1" applyNumberFormat="1" applyFont="1" applyBorder="1" applyAlignment="1" applyProtection="1">
      <protection locked="0"/>
    </xf>
    <xf numFmtId="0" fontId="0" fillId="0" borderId="5" xfId="0" applyBorder="1" applyProtection="1">
      <protection locked="0"/>
    </xf>
    <xf numFmtId="0" fontId="7" fillId="0" borderId="0" xfId="0" applyFont="1" applyFill="1" applyBorder="1" applyProtection="1">
      <protection locked="0"/>
    </xf>
    <xf numFmtId="11" fontId="3" fillId="0" borderId="1" xfId="1" applyNumberFormat="1" applyFont="1" applyBorder="1" applyAlignment="1" applyProtection="1">
      <alignment horizontal="center" wrapText="1"/>
      <protection locked="0"/>
    </xf>
    <xf numFmtId="1" fontId="0" fillId="0" borderId="0" xfId="1" applyNumberFormat="1" applyFont="1" applyBorder="1" applyAlignment="1" applyProtection="1">
      <alignment horizontal="center"/>
      <protection locked="0"/>
    </xf>
    <xf numFmtId="1" fontId="3" fillId="0" borderId="6" xfId="0" applyNumberFormat="1" applyFont="1" applyBorder="1" applyAlignment="1" applyProtection="1">
      <alignment horizontal="right" indent="1"/>
      <protection locked="0"/>
    </xf>
    <xf numFmtId="0" fontId="12" fillId="0" borderId="3" xfId="4" applyFont="1" applyBorder="1" applyAlignment="1" applyProtection="1">
      <alignment vertical="center"/>
      <protection locked="0"/>
    </xf>
    <xf numFmtId="1" fontId="0" fillId="0" borderId="0" xfId="0" applyNumberFormat="1" applyBorder="1" applyAlignment="1" applyProtection="1">
      <alignment horizontal="center"/>
      <protection locked="0"/>
    </xf>
    <xf numFmtId="1" fontId="0" fillId="0" borderId="1" xfId="0" applyNumberFormat="1" applyBorder="1" applyAlignment="1" applyProtection="1">
      <alignment horizontal="center"/>
      <protection locked="0"/>
    </xf>
    <xf numFmtId="1" fontId="0" fillId="0" borderId="1" xfId="1" applyNumberFormat="1" applyFont="1" applyBorder="1" applyAlignment="1" applyProtection="1">
      <alignment horizontal="center"/>
      <protection locked="0"/>
    </xf>
    <xf numFmtId="1" fontId="3" fillId="0" borderId="7" xfId="0" applyNumberFormat="1" applyFont="1" applyBorder="1" applyAlignment="1" applyProtection="1">
      <alignment horizontal="right" indent="1"/>
      <protection locked="0"/>
    </xf>
    <xf numFmtId="0" fontId="4" fillId="0" borderId="0" xfId="0" applyFont="1" applyAlignment="1" applyProtection="1">
      <alignment wrapText="1"/>
      <protection locked="0"/>
    </xf>
    <xf numFmtId="1" fontId="4" fillId="4" borderId="8" xfId="0" applyNumberFormat="1" applyFont="1" applyFill="1" applyBorder="1" applyAlignment="1" applyProtection="1">
      <alignment horizontal="center"/>
      <protection locked="0"/>
    </xf>
    <xf numFmtId="1" fontId="0" fillId="0" borderId="6" xfId="0" applyNumberFormat="1" applyFont="1" applyBorder="1" applyAlignment="1" applyProtection="1">
      <alignment horizontal="right" indent="1"/>
      <protection locked="0"/>
    </xf>
    <xf numFmtId="1" fontId="4" fillId="0" borderId="6" xfId="0" applyNumberFormat="1" applyFont="1" applyBorder="1" applyAlignment="1" applyProtection="1">
      <alignment horizontal="center"/>
      <protection locked="0"/>
    </xf>
    <xf numFmtId="1" fontId="4" fillId="0" borderId="0" xfId="0" applyNumberFormat="1" applyFont="1" applyAlignment="1" applyProtection="1">
      <alignment horizontal="center"/>
      <protection locked="0"/>
    </xf>
    <xf numFmtId="1" fontId="4" fillId="0" borderId="0" xfId="1" applyNumberFormat="1" applyFont="1" applyBorder="1" applyAlignment="1" applyProtection="1">
      <alignment horizontal="center"/>
      <protection locked="0"/>
    </xf>
    <xf numFmtId="1" fontId="4" fillId="3" borderId="8" xfId="0" applyNumberFormat="1" applyFont="1" applyFill="1" applyBorder="1" applyAlignment="1" applyProtection="1">
      <alignment horizontal="center"/>
      <protection locked="0"/>
    </xf>
    <xf numFmtId="0" fontId="4" fillId="0" borderId="0" xfId="0" applyFont="1" applyBorder="1" applyProtection="1">
      <protection locked="0"/>
    </xf>
    <xf numFmtId="0" fontId="4" fillId="0" borderId="0" xfId="0" applyFont="1" applyProtection="1">
      <protection locked="0"/>
    </xf>
    <xf numFmtId="0" fontId="5" fillId="0" borderId="0" xfId="0" applyFont="1" applyProtection="1">
      <protection locked="0"/>
    </xf>
    <xf numFmtId="11" fontId="0" fillId="0" borderId="0" xfId="2" applyNumberFormat="1" applyFont="1" applyBorder="1" applyAlignment="1" applyProtection="1">
      <protection locked="0"/>
    </xf>
    <xf numFmtId="0" fontId="8" fillId="0" borderId="0" xfId="4" applyBorder="1" applyAlignment="1" applyProtection="1">
      <alignment wrapText="1"/>
      <protection locked="0"/>
    </xf>
    <xf numFmtId="0" fontId="0" fillId="0" borderId="0" xfId="0" applyAlignment="1" applyProtection="1">
      <protection locked="0"/>
    </xf>
    <xf numFmtId="0" fontId="11" fillId="0" borderId="0" xfId="0" applyFont="1" applyBorder="1" applyAlignment="1" applyProtection="1">
      <alignment wrapText="1"/>
      <protection locked="0"/>
    </xf>
    <xf numFmtId="0" fontId="0" fillId="0" borderId="0" xfId="0" applyBorder="1" applyAlignment="1" applyProtection="1">
      <alignment horizontal="center"/>
      <protection locked="0"/>
    </xf>
    <xf numFmtId="0" fontId="0" fillId="0" borderId="9" xfId="0" applyBorder="1" applyProtection="1">
      <protection locked="0"/>
    </xf>
    <xf numFmtId="0" fontId="0" fillId="0" borderId="9" xfId="0" applyBorder="1" applyAlignment="1" applyProtection="1">
      <alignment horizontal="center"/>
      <protection locked="0"/>
    </xf>
    <xf numFmtId="0" fontId="0" fillId="0" borderId="9" xfId="0" applyBorder="1" applyAlignment="1" applyProtection="1">
      <alignment vertical="top"/>
      <protection locked="0"/>
    </xf>
    <xf numFmtId="0" fontId="13" fillId="0" borderId="1" xfId="0" applyFont="1" applyBorder="1" applyAlignment="1" applyProtection="1">
      <alignment wrapText="1"/>
      <protection locked="0"/>
    </xf>
    <xf numFmtId="0" fontId="3" fillId="0" borderId="1" xfId="0" applyFont="1" applyBorder="1" applyAlignment="1" applyProtection="1">
      <alignment horizontal="center" vertical="center" wrapText="1"/>
      <protection locked="0"/>
    </xf>
    <xf numFmtId="0" fontId="3" fillId="0" borderId="4" xfId="0" applyFont="1" applyBorder="1" applyAlignment="1" applyProtection="1">
      <alignment horizontal="center" wrapText="1"/>
      <protection locked="0"/>
    </xf>
    <xf numFmtId="0" fontId="0" fillId="0" borderId="0" xfId="0" applyAlignment="1" applyProtection="1">
      <alignment horizontal="center" vertical="center"/>
      <protection locked="0"/>
    </xf>
    <xf numFmtId="1" fontId="0" fillId="0" borderId="0" xfId="0" applyNumberFormat="1" applyAlignment="1" applyProtection="1">
      <alignment horizontal="center" vertical="center"/>
      <protection locked="0"/>
    </xf>
    <xf numFmtId="1" fontId="3" fillId="4" borderId="3" xfId="0" applyNumberFormat="1" applyFont="1" applyFill="1" applyBorder="1" applyAlignment="1" applyProtection="1">
      <alignment horizontal="center"/>
      <protection locked="0"/>
    </xf>
    <xf numFmtId="1" fontId="3" fillId="0" borderId="3" xfId="0" applyNumberFormat="1" applyFont="1" applyBorder="1" applyAlignment="1" applyProtection="1">
      <alignment horizontal="center"/>
      <protection locked="0"/>
    </xf>
    <xf numFmtId="1" fontId="3" fillId="4" borderId="0" xfId="0" applyNumberFormat="1" applyFont="1" applyFill="1" applyAlignment="1" applyProtection="1">
      <alignment horizontal="center"/>
      <protection locked="0"/>
    </xf>
    <xf numFmtId="1" fontId="0" fillId="0" borderId="0" xfId="0" applyNumberFormat="1" applyProtection="1">
      <protection locked="0"/>
    </xf>
    <xf numFmtId="0" fontId="0" fillId="0" borderId="6" xfId="0" applyBorder="1" applyProtection="1">
      <protection locked="0"/>
    </xf>
    <xf numFmtId="0" fontId="0" fillId="0" borderId="7" xfId="0" applyBorder="1" applyProtection="1">
      <protection locked="0"/>
    </xf>
    <xf numFmtId="0" fontId="2" fillId="0" borderId="0" xfId="0" applyFont="1" applyAlignment="1" applyProtection="1">
      <alignment wrapText="1"/>
    </xf>
    <xf numFmtId="0" fontId="3" fillId="0" borderId="0" xfId="0" applyFont="1" applyProtection="1"/>
    <xf numFmtId="0" fontId="3" fillId="0" borderId="0" xfId="0" applyFont="1" applyAlignment="1" applyProtection="1">
      <alignment wrapText="1"/>
    </xf>
    <xf numFmtId="0" fontId="3" fillId="0" borderId="1" xfId="0" applyFont="1" applyBorder="1" applyAlignment="1" applyProtection="1">
      <alignment wrapText="1"/>
    </xf>
    <xf numFmtId="0" fontId="0" fillId="0" borderId="0" xfId="0" applyAlignment="1" applyProtection="1">
      <alignment wrapText="1"/>
    </xf>
    <xf numFmtId="0" fontId="0" fillId="0" borderId="1" xfId="0" applyFont="1" applyBorder="1" applyAlignment="1" applyProtection="1">
      <alignment wrapText="1"/>
    </xf>
    <xf numFmtId="0" fontId="3" fillId="0" borderId="1" xfId="0" applyFont="1" applyBorder="1" applyAlignment="1" applyProtection="1">
      <alignment horizontal="left" wrapText="1"/>
    </xf>
    <xf numFmtId="0" fontId="3" fillId="0" borderId="0" xfId="0" applyFont="1" applyAlignment="1" applyProtection="1">
      <alignment horizontal="left" wrapText="1"/>
    </xf>
    <xf numFmtId="0" fontId="0" fillId="0" borderId="0" xfId="0" applyProtection="1"/>
    <xf numFmtId="0" fontId="0" fillId="0" borderId="0" xfId="0" applyFont="1" applyBorder="1" applyAlignment="1" applyProtection="1">
      <alignment wrapText="1"/>
    </xf>
    <xf numFmtId="0" fontId="0" fillId="0" borderId="1" xfId="0" applyBorder="1" applyAlignment="1" applyProtection="1">
      <alignment wrapText="1"/>
    </xf>
    <xf numFmtId="0" fontId="4" fillId="0" borderId="1" xfId="0" applyFont="1" applyBorder="1" applyAlignment="1" applyProtection="1">
      <alignment wrapText="1"/>
    </xf>
    <xf numFmtId="49" fontId="0" fillId="0" borderId="0" xfId="0" applyNumberFormat="1" applyFont="1" applyAlignment="1" applyProtection="1">
      <alignment wrapText="1"/>
    </xf>
    <xf numFmtId="0" fontId="0" fillId="0" borderId="0" xfId="0" applyBorder="1" applyAlignment="1" applyProtection="1">
      <alignment horizontal="left" wrapText="1"/>
    </xf>
    <xf numFmtId="0" fontId="4" fillId="0" borderId="0" xfId="0" applyFont="1" applyAlignment="1" applyProtection="1">
      <alignment wrapText="1"/>
    </xf>
    <xf numFmtId="0" fontId="11" fillId="0" borderId="0" xfId="0" applyFont="1" applyProtection="1"/>
    <xf numFmtId="0" fontId="3" fillId="0" borderId="1" xfId="0" applyFont="1" applyBorder="1" applyAlignment="1">
      <alignment horizontal="center" vertical="center"/>
    </xf>
    <xf numFmtId="0" fontId="0" fillId="0" borderId="0" xfId="0" applyAlignment="1">
      <alignment horizontal="center" vertical="center"/>
    </xf>
    <xf numFmtId="0" fontId="0" fillId="0" borderId="13" xfId="0" applyBorder="1"/>
    <xf numFmtId="0" fontId="0" fillId="0" borderId="1" xfId="0" applyBorder="1" applyAlignment="1">
      <alignment horizontal="center" vertical="center"/>
    </xf>
    <xf numFmtId="0" fontId="3"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vertical="center" wrapText="1"/>
    </xf>
    <xf numFmtId="0" fontId="0" fillId="0" borderId="3" xfId="0" applyFont="1" applyBorder="1" applyAlignment="1">
      <alignment horizontal="center"/>
    </xf>
    <xf numFmtId="2" fontId="0" fillId="0" borderId="4" xfId="0" applyNumberFormat="1" applyFont="1" applyBorder="1" applyAlignment="1">
      <alignment horizontal="center"/>
    </xf>
    <xf numFmtId="0" fontId="3" fillId="0" borderId="4" xfId="0" applyFont="1" applyBorder="1" applyAlignment="1">
      <alignment horizontal="center" vertical="center" wrapText="1"/>
    </xf>
    <xf numFmtId="0" fontId="0" fillId="0" borderId="3"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 fillId="0" borderId="3" xfId="0" applyFont="1" applyBorder="1" applyAlignment="1">
      <alignment horizontal="center" vertical="center"/>
    </xf>
    <xf numFmtId="0" fontId="0" fillId="0" borderId="0" xfId="0" applyAlignment="1">
      <alignment vertical="center" wrapText="1"/>
    </xf>
    <xf numFmtId="0" fontId="4" fillId="0" borderId="1" xfId="0" applyFont="1" applyBorder="1" applyAlignment="1">
      <alignment wrapText="1"/>
    </xf>
    <xf numFmtId="0" fontId="3" fillId="4" borderId="3" xfId="0" applyFont="1" applyFill="1" applyBorder="1" applyAlignment="1">
      <alignment horizontal="center" vertical="center"/>
    </xf>
    <xf numFmtId="0" fontId="3" fillId="4" borderId="0" xfId="0" applyFont="1" applyFill="1" applyAlignment="1">
      <alignment horizontal="center" vertical="center"/>
    </xf>
    <xf numFmtId="0" fontId="3" fillId="0" borderId="0" xfId="0" applyFont="1" applyAlignment="1">
      <alignment vertical="center"/>
    </xf>
    <xf numFmtId="0" fontId="0" fillId="0" borderId="0" xfId="0" applyFont="1" applyFill="1" applyBorder="1"/>
    <xf numFmtId="1" fontId="0" fillId="0" borderId="0" xfId="0" applyNumberFormat="1" applyAlignment="1">
      <alignment horizontal="center"/>
    </xf>
    <xf numFmtId="0" fontId="8" fillId="0" borderId="0" xfId="4"/>
    <xf numFmtId="1" fontId="0" fillId="0" borderId="1" xfId="0" applyNumberFormat="1" applyBorder="1" applyAlignment="1">
      <alignment horizontal="center"/>
    </xf>
    <xf numFmtId="1" fontId="3" fillId="0" borderId="0" xfId="0" applyNumberFormat="1" applyFont="1"/>
    <xf numFmtId="1" fontId="0" fillId="0" borderId="0" xfId="0" applyNumberFormat="1" applyAlignment="1">
      <alignment horizontal="center" vertical="center"/>
    </xf>
    <xf numFmtId="167" fontId="0" fillId="0" borderId="0" xfId="0" applyNumberFormat="1" applyAlignment="1">
      <alignment horizontal="center" vertical="center"/>
    </xf>
    <xf numFmtId="0" fontId="0" fillId="0" borderId="1" xfId="0" applyFont="1" applyFill="1" applyBorder="1"/>
    <xf numFmtId="1" fontId="0" fillId="0" borderId="1" xfId="0" applyNumberFormat="1" applyBorder="1" applyAlignment="1">
      <alignment horizontal="center" vertical="center"/>
    </xf>
    <xf numFmtId="167" fontId="0" fillId="0" borderId="1" xfId="0" applyNumberFormat="1" applyBorder="1" applyAlignment="1">
      <alignment horizontal="center" vertical="center"/>
    </xf>
    <xf numFmtId="0" fontId="8" fillId="0" borderId="1" xfId="4" applyBorder="1"/>
    <xf numFmtId="1" fontId="3" fillId="0" borderId="0" xfId="0" applyNumberFormat="1" applyFont="1" applyAlignment="1">
      <alignment horizontal="center" vertical="center"/>
    </xf>
    <xf numFmtId="167" fontId="3" fillId="4" borderId="0" xfId="0" applyNumberFormat="1" applyFont="1" applyFill="1" applyAlignment="1">
      <alignment horizontal="center" vertical="center"/>
    </xf>
    <xf numFmtId="0" fontId="3" fillId="0" borderId="4" xfId="0" applyFont="1" applyBorder="1" applyAlignment="1">
      <alignment wrapText="1"/>
    </xf>
    <xf numFmtId="1" fontId="3" fillId="0" borderId="6" xfId="0" applyNumberFormat="1" applyFont="1" applyBorder="1" applyAlignment="1">
      <alignment horizontal="center"/>
    </xf>
    <xf numFmtId="1" fontId="3" fillId="0" borderId="0" xfId="0" applyNumberFormat="1" applyFont="1" applyBorder="1" applyAlignment="1">
      <alignment horizontal="center"/>
    </xf>
    <xf numFmtId="0" fontId="3" fillId="0" borderId="2" xfId="0" applyFont="1" applyBorder="1" applyAlignment="1">
      <alignment horizontal="center"/>
    </xf>
    <xf numFmtId="1" fontId="3" fillId="0" borderId="8" xfId="0" applyNumberFormat="1" applyFont="1" applyBorder="1" applyAlignment="1">
      <alignment horizontal="center"/>
    </xf>
    <xf numFmtId="0" fontId="23" fillId="0" borderId="0" xfId="0" applyFont="1" applyAlignment="1">
      <alignment horizontal="center"/>
    </xf>
    <xf numFmtId="168" fontId="23" fillId="0" borderId="0" xfId="0" applyNumberFormat="1" applyFont="1" applyFill="1" applyBorder="1" applyAlignment="1">
      <alignment horizontal="center" vertical="center" wrapText="1"/>
    </xf>
    <xf numFmtId="1" fontId="23" fillId="0" borderId="0" xfId="0" applyNumberFormat="1" applyFont="1" applyFill="1" applyBorder="1" applyAlignment="1">
      <alignment horizontal="center" vertical="center" wrapText="1"/>
    </xf>
    <xf numFmtId="0" fontId="4" fillId="0" borderId="15" xfId="0" applyFont="1" applyBorder="1" applyAlignment="1" applyProtection="1">
      <alignment horizontal="left" wrapText="1"/>
      <protection locked="0"/>
    </xf>
    <xf numFmtId="0" fontId="7" fillId="0" borderId="0" xfId="0" applyFont="1" applyAlignment="1" applyProtection="1">
      <alignment horizontal="left" wrapText="1"/>
      <protection locked="0"/>
    </xf>
    <xf numFmtId="9" fontId="3" fillId="0" borderId="3" xfId="0" applyNumberFormat="1" applyFont="1" applyBorder="1" applyAlignment="1" applyProtection="1">
      <alignment horizontal="center"/>
      <protection locked="0"/>
    </xf>
    <xf numFmtId="0" fontId="0" fillId="0" borderId="0" xfId="0" applyBorder="1" applyAlignment="1" applyProtection="1">
      <alignment horizontal="center"/>
      <protection locked="0"/>
    </xf>
    <xf numFmtId="0" fontId="7" fillId="0" borderId="13" xfId="0" applyFont="1" applyBorder="1" applyAlignment="1" applyProtection="1">
      <alignment wrapText="1"/>
      <protection locked="0"/>
    </xf>
    <xf numFmtId="0" fontId="0" fillId="0" borderId="9" xfId="0" applyBorder="1" applyAlignment="1" applyProtection="1">
      <alignment wrapText="1"/>
      <protection locked="0"/>
    </xf>
    <xf numFmtId="0" fontId="7" fillId="0" borderId="3" xfId="0" applyFont="1" applyBorder="1" applyAlignment="1" applyProtection="1">
      <alignment wrapText="1"/>
      <protection locked="0"/>
    </xf>
    <xf numFmtId="0" fontId="7" fillId="0" borderId="0" xfId="0" applyFont="1" applyAlignment="1" applyProtection="1">
      <alignment wrapText="1"/>
      <protection locked="0"/>
    </xf>
    <xf numFmtId="1" fontId="3" fillId="0" borderId="4" xfId="0" applyNumberFormat="1" applyFont="1" applyBorder="1" applyAlignment="1" applyProtection="1">
      <protection locked="0"/>
    </xf>
    <xf numFmtId="0" fontId="0" fillId="0" borderId="1" xfId="0" applyBorder="1" applyAlignment="1" applyProtection="1">
      <protection locked="0"/>
    </xf>
    <xf numFmtId="0" fontId="19" fillId="0" borderId="0" xfId="6" applyFont="1" applyBorder="1" applyAlignment="1" applyProtection="1">
      <alignment wrapText="1"/>
      <protection locked="0"/>
    </xf>
    <xf numFmtId="0" fontId="3" fillId="0" borderId="0" xfId="0" applyFont="1" applyBorder="1" applyAlignment="1" applyProtection="1">
      <alignment wrapText="1"/>
      <protection locked="0"/>
    </xf>
    <xf numFmtId="0" fontId="0" fillId="0" borderId="0" xfId="0" applyBorder="1" applyAlignment="1" applyProtection="1">
      <alignment wrapText="1"/>
      <protection locked="0"/>
    </xf>
    <xf numFmtId="0" fontId="0" fillId="0" borderId="0" xfId="0" applyBorder="1" applyAlignment="1" applyProtection="1">
      <protection locked="0"/>
    </xf>
    <xf numFmtId="0" fontId="0" fillId="0" borderId="0" xfId="0" applyAlignment="1" applyProtection="1">
      <protection locked="0"/>
    </xf>
    <xf numFmtId="0" fontId="0" fillId="0" borderId="0" xfId="0" applyBorder="1" applyAlignment="1" applyProtection="1">
      <alignment horizontal="left" vertical="center" wrapText="1"/>
      <protection locked="0"/>
    </xf>
    <xf numFmtId="0" fontId="0" fillId="0" borderId="0" xfId="0" applyAlignment="1"/>
    <xf numFmtId="0" fontId="8" fillId="0" borderId="0" xfId="4" applyAlignment="1" applyProtection="1">
      <protection locked="0"/>
    </xf>
    <xf numFmtId="0" fontId="12" fillId="0" borderId="0" xfId="4" applyFont="1" applyBorder="1" applyAlignment="1" applyProtection="1">
      <alignment horizontal="left" vertical="center" wrapText="1"/>
      <protection locked="0"/>
    </xf>
    <xf numFmtId="0" fontId="7" fillId="0" borderId="0" xfId="0" applyFont="1" applyAlignment="1" applyProtection="1">
      <alignment horizontal="left" vertical="center"/>
      <protection locked="0"/>
    </xf>
    <xf numFmtId="0" fontId="8" fillId="0" borderId="0" xfId="4" applyBorder="1" applyAlignment="1" applyProtection="1">
      <alignment horizontal="left" vertical="center" wrapText="1"/>
      <protection locked="0"/>
    </xf>
    <xf numFmtId="0" fontId="8" fillId="0" borderId="0" xfId="4" applyBorder="1" applyAlignment="1" applyProtection="1">
      <alignment wrapText="1"/>
      <protection locked="0"/>
    </xf>
    <xf numFmtId="0" fontId="0" fillId="0" borderId="0" xfId="0" applyAlignment="1" applyProtection="1">
      <alignment wrapText="1"/>
      <protection locked="0"/>
    </xf>
    <xf numFmtId="0" fontId="0" fillId="0" borderId="0" xfId="0" applyBorder="1" applyAlignment="1" applyProtection="1">
      <alignment horizontal="left" wrapText="1"/>
      <protection locked="0"/>
    </xf>
    <xf numFmtId="0" fontId="3" fillId="0" borderId="1" xfId="0" applyFont="1" applyBorder="1" applyAlignment="1"/>
    <xf numFmtId="0" fontId="0" fillId="0" borderId="1" xfId="0" applyBorder="1" applyAlignment="1"/>
    <xf numFmtId="0" fontId="12" fillId="0" borderId="3" xfId="4" applyFont="1" applyBorder="1" applyAlignment="1">
      <alignment wrapText="1"/>
    </xf>
    <xf numFmtId="0" fontId="7" fillId="0" borderId="0" xfId="0" applyFont="1" applyBorder="1" applyAlignment="1"/>
    <xf numFmtId="0" fontId="0" fillId="0" borderId="0" xfId="0" applyAlignment="1">
      <alignment wrapText="1"/>
    </xf>
    <xf numFmtId="0" fontId="0" fillId="0" borderId="3" xfId="0" applyBorder="1" applyAlignment="1">
      <alignment wrapText="1"/>
    </xf>
    <xf numFmtId="0" fontId="0" fillId="0" borderId="0" xfId="0" applyBorder="1" applyAlignment="1">
      <alignment wrapText="1"/>
    </xf>
    <xf numFmtId="0" fontId="0" fillId="0" borderId="0" xfId="0" applyFont="1" applyAlignment="1">
      <alignment wrapText="1"/>
    </xf>
  </cellXfs>
  <cellStyles count="11">
    <cellStyle name="Entrée" xfId="5" builtinId="20"/>
    <cellStyle name="Excel Built-in Input" xfId="10"/>
    <cellStyle name="Lien hypertexte" xfId="4" builtinId="8"/>
    <cellStyle name="Lien hypertexte 2" xfId="9"/>
    <cellStyle name="Milliers" xfId="1" builtinId="3"/>
    <cellStyle name="Milliers 2" xfId="7"/>
    <cellStyle name="Monétaire" xfId="2" builtinId="4"/>
    <cellStyle name="Monétaire 2" xfId="8"/>
    <cellStyle name="Normal" xfId="0" builtinId="0"/>
    <cellStyle name="Normal 2" xfId="6"/>
    <cellStyle name="Texte explicatif" xfId="3" builtinId="53" customBuiltin="1"/>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CC"/>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png"/><Relationship Id="rId13" Type="http://schemas.openxmlformats.org/officeDocument/2006/relationships/image" Target="../media/image14.png"/><Relationship Id="rId18" Type="http://schemas.openxmlformats.org/officeDocument/2006/relationships/image" Target="../media/image19.png"/><Relationship Id="rId26" Type="http://schemas.openxmlformats.org/officeDocument/2006/relationships/image" Target="../media/image27.png"/><Relationship Id="rId39" Type="http://schemas.openxmlformats.org/officeDocument/2006/relationships/image" Target="../media/image40.png"/><Relationship Id="rId3" Type="http://schemas.openxmlformats.org/officeDocument/2006/relationships/image" Target="../media/image4.png"/><Relationship Id="rId21" Type="http://schemas.openxmlformats.org/officeDocument/2006/relationships/image" Target="../media/image22.png"/><Relationship Id="rId34" Type="http://schemas.openxmlformats.org/officeDocument/2006/relationships/image" Target="../media/image35.png"/><Relationship Id="rId7" Type="http://schemas.openxmlformats.org/officeDocument/2006/relationships/image" Target="../media/image8.png"/><Relationship Id="rId12" Type="http://schemas.openxmlformats.org/officeDocument/2006/relationships/image" Target="../media/image13.png"/><Relationship Id="rId17" Type="http://schemas.openxmlformats.org/officeDocument/2006/relationships/image" Target="../media/image18.png"/><Relationship Id="rId25" Type="http://schemas.openxmlformats.org/officeDocument/2006/relationships/image" Target="../media/image26.png"/><Relationship Id="rId33" Type="http://schemas.openxmlformats.org/officeDocument/2006/relationships/image" Target="../media/image34.png"/><Relationship Id="rId38" Type="http://schemas.openxmlformats.org/officeDocument/2006/relationships/image" Target="../media/image39.png"/><Relationship Id="rId2" Type="http://schemas.openxmlformats.org/officeDocument/2006/relationships/image" Target="../media/image3.png"/><Relationship Id="rId16" Type="http://schemas.openxmlformats.org/officeDocument/2006/relationships/image" Target="../media/image17.png"/><Relationship Id="rId20" Type="http://schemas.openxmlformats.org/officeDocument/2006/relationships/image" Target="../media/image21.png"/><Relationship Id="rId29" Type="http://schemas.openxmlformats.org/officeDocument/2006/relationships/image" Target="../media/image30.png"/><Relationship Id="rId41" Type="http://schemas.openxmlformats.org/officeDocument/2006/relationships/image" Target="../media/image42.png"/><Relationship Id="rId1" Type="http://schemas.openxmlformats.org/officeDocument/2006/relationships/image" Target="../media/image2.png"/><Relationship Id="rId6" Type="http://schemas.openxmlformats.org/officeDocument/2006/relationships/image" Target="../media/image7.png"/><Relationship Id="rId11" Type="http://schemas.openxmlformats.org/officeDocument/2006/relationships/image" Target="../media/image12.png"/><Relationship Id="rId24" Type="http://schemas.openxmlformats.org/officeDocument/2006/relationships/image" Target="../media/image25.png"/><Relationship Id="rId32" Type="http://schemas.openxmlformats.org/officeDocument/2006/relationships/image" Target="../media/image33.png"/><Relationship Id="rId37" Type="http://schemas.openxmlformats.org/officeDocument/2006/relationships/image" Target="../media/image38.png"/><Relationship Id="rId40" Type="http://schemas.openxmlformats.org/officeDocument/2006/relationships/image" Target="../media/image41.png"/><Relationship Id="rId5" Type="http://schemas.openxmlformats.org/officeDocument/2006/relationships/image" Target="../media/image6.png"/><Relationship Id="rId15" Type="http://schemas.openxmlformats.org/officeDocument/2006/relationships/image" Target="../media/image16.png"/><Relationship Id="rId23" Type="http://schemas.openxmlformats.org/officeDocument/2006/relationships/image" Target="../media/image24.png"/><Relationship Id="rId28" Type="http://schemas.openxmlformats.org/officeDocument/2006/relationships/image" Target="../media/image29.png"/><Relationship Id="rId36" Type="http://schemas.openxmlformats.org/officeDocument/2006/relationships/image" Target="../media/image37.png"/><Relationship Id="rId10" Type="http://schemas.openxmlformats.org/officeDocument/2006/relationships/image" Target="../media/image11.png"/><Relationship Id="rId19" Type="http://schemas.openxmlformats.org/officeDocument/2006/relationships/image" Target="../media/image20.png"/><Relationship Id="rId31" Type="http://schemas.openxmlformats.org/officeDocument/2006/relationships/image" Target="../media/image32.png"/><Relationship Id="rId4" Type="http://schemas.openxmlformats.org/officeDocument/2006/relationships/image" Target="../media/image5.png"/><Relationship Id="rId9" Type="http://schemas.openxmlformats.org/officeDocument/2006/relationships/image" Target="../media/image10.png"/><Relationship Id="rId14" Type="http://schemas.openxmlformats.org/officeDocument/2006/relationships/image" Target="../media/image15.png"/><Relationship Id="rId22" Type="http://schemas.openxmlformats.org/officeDocument/2006/relationships/image" Target="../media/image23.png"/><Relationship Id="rId27" Type="http://schemas.openxmlformats.org/officeDocument/2006/relationships/image" Target="../media/image28.png"/><Relationship Id="rId30" Type="http://schemas.openxmlformats.org/officeDocument/2006/relationships/image" Target="../media/image31.png"/><Relationship Id="rId35" Type="http://schemas.openxmlformats.org/officeDocument/2006/relationships/image" Target="../media/image36.png"/></Relationships>
</file>

<file path=xl/drawings/drawing1.xml><?xml version="1.0" encoding="utf-8"?>
<xdr:wsDr xmlns:xdr="http://schemas.openxmlformats.org/drawingml/2006/spreadsheetDrawing" xmlns:a="http://schemas.openxmlformats.org/drawingml/2006/main">
  <xdr:twoCellAnchor editAs="oneCell">
    <xdr:from>
      <xdr:col>9</xdr:col>
      <xdr:colOff>22860</xdr:colOff>
      <xdr:row>117</xdr:row>
      <xdr:rowOff>15240</xdr:rowOff>
    </xdr:from>
    <xdr:to>
      <xdr:col>14</xdr:col>
      <xdr:colOff>685800</xdr:colOff>
      <xdr:row>130</xdr:row>
      <xdr:rowOff>121920</xdr:rowOff>
    </xdr:to>
    <xdr:pic>
      <xdr:nvPicPr>
        <xdr:cNvPr id="2" name="Imag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938260" y="24536400"/>
          <a:ext cx="4625340" cy="24993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220980</xdr:colOff>
      <xdr:row>2</xdr:row>
      <xdr:rowOff>137160</xdr:rowOff>
    </xdr:to>
    <xdr:pic>
      <xdr:nvPicPr>
        <xdr:cNvPr id="2" name="Image 1" descr="https://upload.wikimedia.org/wikipedia/en/thumb/b/ba/Flag_of_Germany.svg/23px-Flag_of_Germany.svg.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2480" y="36576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xdr:row>
      <xdr:rowOff>0</xdr:rowOff>
    </xdr:from>
    <xdr:to>
      <xdr:col>0</xdr:col>
      <xdr:colOff>220980</xdr:colOff>
      <xdr:row>3</xdr:row>
      <xdr:rowOff>114300</xdr:rowOff>
    </xdr:to>
    <xdr:pic>
      <xdr:nvPicPr>
        <xdr:cNvPr id="3" name="Image 2" descr="https://upload.wikimedia.org/wikipedia/en/thumb/a/ae/Flag_of_the_United_Kingdom.svg/23px-Flag_of_the_United_Kingdom.svg.png"/>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92480" y="548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4</xdr:row>
      <xdr:rowOff>0</xdr:rowOff>
    </xdr:from>
    <xdr:to>
      <xdr:col>0</xdr:col>
      <xdr:colOff>220980</xdr:colOff>
      <xdr:row>4</xdr:row>
      <xdr:rowOff>144780</xdr:rowOff>
    </xdr:to>
    <xdr:pic>
      <xdr:nvPicPr>
        <xdr:cNvPr id="4" name="Image 3" descr="https://upload.wikimedia.org/wikipedia/en/thumb/c/c3/Flag_of_France.svg/23px-Flag_of_France.svg.png"/>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92480" y="7315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5</xdr:row>
      <xdr:rowOff>0</xdr:rowOff>
    </xdr:from>
    <xdr:to>
      <xdr:col>0</xdr:col>
      <xdr:colOff>220980</xdr:colOff>
      <xdr:row>5</xdr:row>
      <xdr:rowOff>144780</xdr:rowOff>
    </xdr:to>
    <xdr:pic>
      <xdr:nvPicPr>
        <xdr:cNvPr id="5" name="Image 4" descr="https://upload.wikimedia.org/wikipedia/en/thumb/0/03/Flag_of_Italy.svg/23px-Flag_of_Italy.svg.png"/>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92480" y="91440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220980</xdr:colOff>
      <xdr:row>6</xdr:row>
      <xdr:rowOff>144780</xdr:rowOff>
    </xdr:to>
    <xdr:pic>
      <xdr:nvPicPr>
        <xdr:cNvPr id="6" name="Image 5" descr="https://upload.wikimedia.org/wikipedia/en/thumb/f/f3/Flag_of_Russia.svg/23px-Flag_of_Russia.svg.png"/>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792480" y="1097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6</xdr:row>
      <xdr:rowOff>0</xdr:rowOff>
    </xdr:from>
    <xdr:to>
      <xdr:col>0</xdr:col>
      <xdr:colOff>220980</xdr:colOff>
      <xdr:row>6</xdr:row>
      <xdr:rowOff>144780</xdr:rowOff>
    </xdr:to>
    <xdr:pic>
      <xdr:nvPicPr>
        <xdr:cNvPr id="7" name="Image 6" descr="https://upload.wikimedia.org/wikipedia/en/thumb/9/9a/Flag_of_Spain.svg/23px-Flag_of_Spain.svg.png"/>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2480" y="1097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0</xdr:rowOff>
    </xdr:from>
    <xdr:to>
      <xdr:col>0</xdr:col>
      <xdr:colOff>220980</xdr:colOff>
      <xdr:row>7</xdr:row>
      <xdr:rowOff>144780</xdr:rowOff>
    </xdr:to>
    <xdr:pic>
      <xdr:nvPicPr>
        <xdr:cNvPr id="8" name="Image 7" descr="https://upload.wikimedia.org/wikipedia/commons/thumb/2/20/Flag_of_the_Netherlands.svg/23px-Flag_of_the_Netherlands.svg.png"/>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92480" y="1280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220980</xdr:colOff>
      <xdr:row>8</xdr:row>
      <xdr:rowOff>144780</xdr:rowOff>
    </xdr:to>
    <xdr:pic>
      <xdr:nvPicPr>
        <xdr:cNvPr id="9" name="Image 8" descr="https://upload.wikimedia.org/wikipedia/commons/thumb/b/b4/Flag_of_Turkey.svg/23px-Flag_of_Turkey.svg.png"/>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92480" y="14630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8</xdr:row>
      <xdr:rowOff>0</xdr:rowOff>
    </xdr:from>
    <xdr:to>
      <xdr:col>0</xdr:col>
      <xdr:colOff>152400</xdr:colOff>
      <xdr:row>8</xdr:row>
      <xdr:rowOff>152400</xdr:rowOff>
    </xdr:to>
    <xdr:pic>
      <xdr:nvPicPr>
        <xdr:cNvPr id="10" name="Image 9" descr="https://upload.wikimedia.org/wikipedia/commons/thumb/f/f3/Flag_of_Switzerland.svg/16px-Flag_of_Switzerland.svg.png"/>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792480" y="1463040"/>
          <a:ext cx="152400"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xdr:row>
      <xdr:rowOff>0</xdr:rowOff>
    </xdr:from>
    <xdr:to>
      <xdr:col>0</xdr:col>
      <xdr:colOff>220980</xdr:colOff>
      <xdr:row>9</xdr:row>
      <xdr:rowOff>137160</xdr:rowOff>
    </xdr:to>
    <xdr:pic>
      <xdr:nvPicPr>
        <xdr:cNvPr id="11" name="Image 10" descr="https://upload.wikimedia.org/wikipedia/en/thumb/1/12/Flag_of_Poland.svg/23px-Flag_of_Poland.svg.png"/>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92480" y="164592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10</xdr:row>
      <xdr:rowOff>0</xdr:rowOff>
    </xdr:from>
    <xdr:to>
      <xdr:col>0</xdr:col>
      <xdr:colOff>220980</xdr:colOff>
      <xdr:row>10</xdr:row>
      <xdr:rowOff>137160</xdr:rowOff>
    </xdr:to>
    <xdr:pic>
      <xdr:nvPicPr>
        <xdr:cNvPr id="12" name="Image 11" descr="https://upload.wikimedia.org/wikipedia/en/thumb/4/4c/Flag_of_Sweden.svg/23px-Flag_of_Sweden.svg.png"/>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792480" y="182880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11</xdr:row>
      <xdr:rowOff>0</xdr:rowOff>
    </xdr:from>
    <xdr:to>
      <xdr:col>0</xdr:col>
      <xdr:colOff>220980</xdr:colOff>
      <xdr:row>11</xdr:row>
      <xdr:rowOff>144780</xdr:rowOff>
    </xdr:to>
    <xdr:pic>
      <xdr:nvPicPr>
        <xdr:cNvPr id="13" name="Image 12" descr="https://upload.wikimedia.org/wikipedia/commons/thumb/9/92/Flag_of_Belgium_%28civil%29.svg/23px-Flag_of_Belgium_%28civil%29.svg.png"/>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92480" y="20116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12</xdr:row>
      <xdr:rowOff>0</xdr:rowOff>
    </xdr:from>
    <xdr:to>
      <xdr:col>0</xdr:col>
      <xdr:colOff>220980</xdr:colOff>
      <xdr:row>12</xdr:row>
      <xdr:rowOff>144780</xdr:rowOff>
    </xdr:to>
    <xdr:pic>
      <xdr:nvPicPr>
        <xdr:cNvPr id="14" name="Image 13" descr="https://upload.wikimedia.org/wikipedia/commons/thumb/4/41/Flag_of_Austria.svg/23px-Flag_of_Austria.svg.png"/>
        <xdr:cNvPicPr>
          <a:picLocks noChangeAspect="1" noChangeArrowheads="1"/>
        </xdr:cNvPicPr>
      </xdr:nvPicPr>
      <xdr:blipFill>
        <a:blip xmlns:r="http://schemas.openxmlformats.org/officeDocument/2006/relationships" r:embed="rId13">
          <a:extLst>
            <a:ext uri="{28A0092B-C50C-407E-A947-70E740481C1C}">
              <a14:useLocalDpi xmlns:a14="http://schemas.microsoft.com/office/drawing/2010/main" val="0"/>
            </a:ext>
          </a:extLst>
        </a:blip>
        <a:srcRect/>
        <a:stretch>
          <a:fillRect/>
        </a:stretch>
      </xdr:blipFill>
      <xdr:spPr bwMode="auto">
        <a:xfrm>
          <a:off x="792480" y="21945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13</xdr:row>
      <xdr:rowOff>0</xdr:rowOff>
    </xdr:from>
    <xdr:to>
      <xdr:col>0</xdr:col>
      <xdr:colOff>198120</xdr:colOff>
      <xdr:row>13</xdr:row>
      <xdr:rowOff>144780</xdr:rowOff>
    </xdr:to>
    <xdr:pic>
      <xdr:nvPicPr>
        <xdr:cNvPr id="15" name="Image 14" descr="https://upload.wikimedia.org/wikipedia/commons/thumb/d/d9/Flag_of_Norway.svg/21px-Flag_of_Norway.svg.png"/>
        <xdr:cNvPicPr>
          <a:picLocks noChangeAspect="1" noChangeArrowheads="1"/>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792480" y="237744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14</xdr:row>
      <xdr:rowOff>0</xdr:rowOff>
    </xdr:from>
    <xdr:to>
      <xdr:col>0</xdr:col>
      <xdr:colOff>220980</xdr:colOff>
      <xdr:row>14</xdr:row>
      <xdr:rowOff>114300</xdr:rowOff>
    </xdr:to>
    <xdr:pic>
      <xdr:nvPicPr>
        <xdr:cNvPr id="16" name="Image 15" descr="https://upload.wikimedia.org/wikipedia/commons/thumb/4/45/Flag_of_Ireland.svg/23px-Flag_of_Ireland.svg.png"/>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792480" y="256032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15</xdr:row>
      <xdr:rowOff>0</xdr:rowOff>
    </xdr:from>
    <xdr:to>
      <xdr:col>0</xdr:col>
      <xdr:colOff>190500</xdr:colOff>
      <xdr:row>15</xdr:row>
      <xdr:rowOff>144780</xdr:rowOff>
    </xdr:to>
    <xdr:pic>
      <xdr:nvPicPr>
        <xdr:cNvPr id="17" name="Image 16" descr="https://upload.wikimedia.org/wikipedia/commons/thumb/9/9c/Flag_of_Denmark.svg/20px-Flag_of_Denmark.svg.png"/>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792480" y="2743200"/>
          <a:ext cx="19050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16</xdr:row>
      <xdr:rowOff>0</xdr:rowOff>
    </xdr:from>
    <xdr:to>
      <xdr:col>0</xdr:col>
      <xdr:colOff>220980</xdr:colOff>
      <xdr:row>16</xdr:row>
      <xdr:rowOff>137160</xdr:rowOff>
    </xdr:to>
    <xdr:pic>
      <xdr:nvPicPr>
        <xdr:cNvPr id="18" name="Image 17" descr="https://upload.wikimedia.org/wikipedia/commons/thumb/b/bc/Flag_of_Finland.svg/23px-Flag_of_Finland.svg.png"/>
        <xdr:cNvPicPr>
          <a:picLocks noChangeAspect="1" noChangeArrowheads="1"/>
        </xdr:cNvPicPr>
      </xdr:nvPicPr>
      <xdr:blipFill>
        <a:blip xmlns:r="http://schemas.openxmlformats.org/officeDocument/2006/relationships" r:embed="rId17">
          <a:extLst>
            <a:ext uri="{28A0092B-C50C-407E-A947-70E740481C1C}">
              <a14:useLocalDpi xmlns:a14="http://schemas.microsoft.com/office/drawing/2010/main" val="0"/>
            </a:ext>
          </a:extLst>
        </a:blip>
        <a:srcRect/>
        <a:stretch>
          <a:fillRect/>
        </a:stretch>
      </xdr:blipFill>
      <xdr:spPr bwMode="auto">
        <a:xfrm>
          <a:off x="792480" y="292608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17</xdr:row>
      <xdr:rowOff>0</xdr:rowOff>
    </xdr:from>
    <xdr:to>
      <xdr:col>0</xdr:col>
      <xdr:colOff>220980</xdr:colOff>
      <xdr:row>17</xdr:row>
      <xdr:rowOff>144780</xdr:rowOff>
    </xdr:to>
    <xdr:pic>
      <xdr:nvPicPr>
        <xdr:cNvPr id="19" name="Image 18" descr="https://upload.wikimedia.org/wikipedia/commons/thumb/c/cb/Flag_of_the_Czech_Republic.svg/23px-Flag_of_the_Czech_Republic.svg.png"/>
        <xdr:cNvPicPr>
          <a:picLocks noChangeAspect="1" noChangeArrowheads="1"/>
        </xdr:cNvPicPr>
      </xdr:nvPicPr>
      <xdr:blipFill>
        <a:blip xmlns:r="http://schemas.openxmlformats.org/officeDocument/2006/relationships" r:embed="rId18">
          <a:extLst>
            <a:ext uri="{28A0092B-C50C-407E-A947-70E740481C1C}">
              <a14:useLocalDpi xmlns:a14="http://schemas.microsoft.com/office/drawing/2010/main" val="0"/>
            </a:ext>
          </a:extLst>
        </a:blip>
        <a:srcRect/>
        <a:stretch>
          <a:fillRect/>
        </a:stretch>
      </xdr:blipFill>
      <xdr:spPr bwMode="auto">
        <a:xfrm>
          <a:off x="792480" y="31089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18</xdr:row>
      <xdr:rowOff>0</xdr:rowOff>
    </xdr:from>
    <xdr:to>
      <xdr:col>0</xdr:col>
      <xdr:colOff>220980</xdr:colOff>
      <xdr:row>18</xdr:row>
      <xdr:rowOff>144780</xdr:rowOff>
    </xdr:to>
    <xdr:pic>
      <xdr:nvPicPr>
        <xdr:cNvPr id="20" name="Image 19" descr="https://upload.wikimedia.org/wikipedia/commons/thumb/5/5c/Flag_of_Portugal.svg/23px-Flag_of_Portugal.svg.png"/>
        <xdr:cNvPicPr>
          <a:picLocks noChangeAspect="1" noChangeArrowheads="1"/>
        </xdr:cNvPicPr>
      </xdr:nvPicPr>
      <xdr:blipFill>
        <a:blip xmlns:r="http://schemas.openxmlformats.org/officeDocument/2006/relationships" r:embed="rId19">
          <a:extLst>
            <a:ext uri="{28A0092B-C50C-407E-A947-70E740481C1C}">
              <a14:useLocalDpi xmlns:a14="http://schemas.microsoft.com/office/drawing/2010/main" val="0"/>
            </a:ext>
          </a:extLst>
        </a:blip>
        <a:srcRect/>
        <a:stretch>
          <a:fillRect/>
        </a:stretch>
      </xdr:blipFill>
      <xdr:spPr bwMode="auto">
        <a:xfrm>
          <a:off x="792480" y="32918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19</xdr:row>
      <xdr:rowOff>0</xdr:rowOff>
    </xdr:from>
    <xdr:to>
      <xdr:col>0</xdr:col>
      <xdr:colOff>220980</xdr:colOff>
      <xdr:row>19</xdr:row>
      <xdr:rowOff>144780</xdr:rowOff>
    </xdr:to>
    <xdr:pic>
      <xdr:nvPicPr>
        <xdr:cNvPr id="21" name="Image 20" descr="https://upload.wikimedia.org/wikipedia/commons/thumb/7/73/Flag_of_Romania.svg/23px-Flag_of_Romania.svg.png"/>
        <xdr:cNvPicPr>
          <a:picLocks noChangeAspect="1" noChangeArrowheads="1"/>
        </xdr:cNvPicPr>
      </xdr:nvPicPr>
      <xdr:blipFill>
        <a:blip xmlns:r="http://schemas.openxmlformats.org/officeDocument/2006/relationships" r:embed="rId20">
          <a:extLst>
            <a:ext uri="{28A0092B-C50C-407E-A947-70E740481C1C}">
              <a14:useLocalDpi xmlns:a14="http://schemas.microsoft.com/office/drawing/2010/main" val="0"/>
            </a:ext>
          </a:extLst>
        </a:blip>
        <a:srcRect/>
        <a:stretch>
          <a:fillRect/>
        </a:stretch>
      </xdr:blipFill>
      <xdr:spPr bwMode="auto">
        <a:xfrm>
          <a:off x="792480" y="34747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20</xdr:row>
      <xdr:rowOff>0</xdr:rowOff>
    </xdr:from>
    <xdr:to>
      <xdr:col>0</xdr:col>
      <xdr:colOff>220980</xdr:colOff>
      <xdr:row>20</xdr:row>
      <xdr:rowOff>144780</xdr:rowOff>
    </xdr:to>
    <xdr:pic>
      <xdr:nvPicPr>
        <xdr:cNvPr id="22" name="Image 21" descr="https://upload.wikimedia.org/wikipedia/commons/thumb/5/5c/Flag_of_Greece.svg/23px-Flag_of_Greece.svg.png"/>
        <xdr:cNvPicPr>
          <a:picLocks noChangeAspect="1" noChangeArrowheads="1"/>
        </xdr:cNvPicPr>
      </xdr:nvPicPr>
      <xdr:blipFill>
        <a:blip xmlns:r="http://schemas.openxmlformats.org/officeDocument/2006/relationships" r:embed="rId21">
          <a:extLst>
            <a:ext uri="{28A0092B-C50C-407E-A947-70E740481C1C}">
              <a14:useLocalDpi xmlns:a14="http://schemas.microsoft.com/office/drawing/2010/main" val="0"/>
            </a:ext>
          </a:extLst>
        </a:blip>
        <a:srcRect/>
        <a:stretch>
          <a:fillRect/>
        </a:stretch>
      </xdr:blipFill>
      <xdr:spPr bwMode="auto">
        <a:xfrm>
          <a:off x="792480" y="365760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21</xdr:row>
      <xdr:rowOff>0</xdr:rowOff>
    </xdr:from>
    <xdr:to>
      <xdr:col>0</xdr:col>
      <xdr:colOff>220980</xdr:colOff>
      <xdr:row>21</xdr:row>
      <xdr:rowOff>114300</xdr:rowOff>
    </xdr:to>
    <xdr:pic>
      <xdr:nvPicPr>
        <xdr:cNvPr id="23" name="Image 22" descr="https://upload.wikimedia.org/wikipedia/commons/thumb/c/c1/Flag_of_Hungary.svg/23px-Flag_of_Hungary.svg.png"/>
        <xdr:cNvPicPr>
          <a:picLocks noChangeAspect="1" noChangeArrowheads="1"/>
        </xdr:cNvPicPr>
      </xdr:nvPicPr>
      <xdr:blipFill>
        <a:blip xmlns:r="http://schemas.openxmlformats.org/officeDocument/2006/relationships" r:embed="rId22">
          <a:extLst>
            <a:ext uri="{28A0092B-C50C-407E-A947-70E740481C1C}">
              <a14:useLocalDpi xmlns:a14="http://schemas.microsoft.com/office/drawing/2010/main" val="0"/>
            </a:ext>
          </a:extLst>
        </a:blip>
        <a:srcRect/>
        <a:stretch>
          <a:fillRect/>
        </a:stretch>
      </xdr:blipFill>
      <xdr:spPr bwMode="auto">
        <a:xfrm>
          <a:off x="792480" y="38404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220980</xdr:colOff>
      <xdr:row>22</xdr:row>
      <xdr:rowOff>144780</xdr:rowOff>
    </xdr:to>
    <xdr:pic>
      <xdr:nvPicPr>
        <xdr:cNvPr id="24" name="Image 23" descr="https://upload.wikimedia.org/wikipedia/commons/thumb/4/49/Flag_of_Ukraine.svg/23px-Flag_of_Ukraine.svg.png"/>
        <xdr:cNvPicPr>
          <a:picLocks noChangeAspect="1" noChangeArrowheads="1"/>
        </xdr:cNvPicPr>
      </xdr:nvPicPr>
      <xdr:blipFill>
        <a:blip xmlns:r="http://schemas.openxmlformats.org/officeDocument/2006/relationships" r:embed="rId23">
          <a:extLst>
            <a:ext uri="{28A0092B-C50C-407E-A947-70E740481C1C}">
              <a14:useLocalDpi xmlns:a14="http://schemas.microsoft.com/office/drawing/2010/main" val="0"/>
            </a:ext>
          </a:extLst>
        </a:blip>
        <a:srcRect/>
        <a:stretch>
          <a:fillRect/>
        </a:stretch>
      </xdr:blipFill>
      <xdr:spPr bwMode="auto">
        <a:xfrm>
          <a:off x="792480" y="40233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22</xdr:row>
      <xdr:rowOff>0</xdr:rowOff>
    </xdr:from>
    <xdr:to>
      <xdr:col>0</xdr:col>
      <xdr:colOff>220980</xdr:colOff>
      <xdr:row>22</xdr:row>
      <xdr:rowOff>144780</xdr:rowOff>
    </xdr:to>
    <xdr:pic>
      <xdr:nvPicPr>
        <xdr:cNvPr id="25" name="Image 24" descr="https://upload.wikimedia.org/wikipedia/commons/thumb/e/e6/Flag_of_Slovakia.svg/23px-Flag_of_Slovakia.svg.png"/>
        <xdr:cNvPicPr>
          <a:picLocks noChangeAspect="1" noChangeArrowheads="1"/>
        </xdr:cNvPicPr>
      </xdr:nvPicPr>
      <xdr:blipFill>
        <a:blip xmlns:r="http://schemas.openxmlformats.org/officeDocument/2006/relationships" r:embed="rId24">
          <a:extLst>
            <a:ext uri="{28A0092B-C50C-407E-A947-70E740481C1C}">
              <a14:useLocalDpi xmlns:a14="http://schemas.microsoft.com/office/drawing/2010/main" val="0"/>
            </a:ext>
          </a:extLst>
        </a:blip>
        <a:srcRect/>
        <a:stretch>
          <a:fillRect/>
        </a:stretch>
      </xdr:blipFill>
      <xdr:spPr bwMode="auto">
        <a:xfrm>
          <a:off x="792480" y="40233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0</xdr:rowOff>
    </xdr:from>
    <xdr:to>
      <xdr:col>0</xdr:col>
      <xdr:colOff>220980</xdr:colOff>
      <xdr:row>23</xdr:row>
      <xdr:rowOff>137160</xdr:rowOff>
    </xdr:to>
    <xdr:pic>
      <xdr:nvPicPr>
        <xdr:cNvPr id="26" name="Image 25" descr="https://upload.wikimedia.org/wikipedia/commons/thumb/d/da/Flag_of_Luxembourg.svg/23px-Flag_of_Luxembourg.svg.png"/>
        <xdr:cNvPicPr>
          <a:picLocks noChangeAspect="1" noChangeArrowheads="1"/>
        </xdr:cNvPicPr>
      </xdr:nvPicPr>
      <xdr:blipFill>
        <a:blip xmlns:r="http://schemas.openxmlformats.org/officeDocument/2006/relationships" r:embed="rId25">
          <a:extLst>
            <a:ext uri="{28A0092B-C50C-407E-A947-70E740481C1C}">
              <a14:useLocalDpi xmlns:a14="http://schemas.microsoft.com/office/drawing/2010/main" val="0"/>
            </a:ext>
          </a:extLst>
        </a:blip>
        <a:srcRect/>
        <a:stretch>
          <a:fillRect/>
        </a:stretch>
      </xdr:blipFill>
      <xdr:spPr bwMode="auto">
        <a:xfrm>
          <a:off x="792480" y="420624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24</xdr:row>
      <xdr:rowOff>0</xdr:rowOff>
    </xdr:from>
    <xdr:to>
      <xdr:col>0</xdr:col>
      <xdr:colOff>220980</xdr:colOff>
      <xdr:row>24</xdr:row>
      <xdr:rowOff>137160</xdr:rowOff>
    </xdr:to>
    <xdr:pic>
      <xdr:nvPicPr>
        <xdr:cNvPr id="27" name="Image 26" descr="https://upload.wikimedia.org/wikipedia/commons/thumb/9/9a/Flag_of_Bulgaria.svg/23px-Flag_of_Bulgaria.svg.png"/>
        <xdr:cNvPicPr>
          <a:picLocks noChangeAspect="1" noChangeArrowheads="1"/>
        </xdr:cNvPicPr>
      </xdr:nvPicPr>
      <xdr:blipFill>
        <a:blip xmlns:r="http://schemas.openxmlformats.org/officeDocument/2006/relationships" r:embed="rId26">
          <a:extLst>
            <a:ext uri="{28A0092B-C50C-407E-A947-70E740481C1C}">
              <a14:useLocalDpi xmlns:a14="http://schemas.microsoft.com/office/drawing/2010/main" val="0"/>
            </a:ext>
          </a:extLst>
        </a:blip>
        <a:srcRect/>
        <a:stretch>
          <a:fillRect/>
        </a:stretch>
      </xdr:blipFill>
      <xdr:spPr bwMode="auto">
        <a:xfrm>
          <a:off x="792480" y="438912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25</xdr:row>
      <xdr:rowOff>0</xdr:rowOff>
    </xdr:from>
    <xdr:to>
      <xdr:col>0</xdr:col>
      <xdr:colOff>220980</xdr:colOff>
      <xdr:row>25</xdr:row>
      <xdr:rowOff>114300</xdr:rowOff>
    </xdr:to>
    <xdr:pic>
      <xdr:nvPicPr>
        <xdr:cNvPr id="28" name="Image 27" descr="https://upload.wikimedia.org/wikipedia/commons/thumb/1/1b/Flag_of_Croatia.svg/23px-Flag_of_Croatia.svg.png"/>
        <xdr:cNvPicPr>
          <a:picLocks noChangeAspect="1" noChangeArrowheads="1"/>
        </xdr:cNvPicPr>
      </xdr:nvPicPr>
      <xdr:blipFill>
        <a:blip xmlns:r="http://schemas.openxmlformats.org/officeDocument/2006/relationships" r:embed="rId27">
          <a:extLst>
            <a:ext uri="{28A0092B-C50C-407E-A947-70E740481C1C}">
              <a14:useLocalDpi xmlns:a14="http://schemas.microsoft.com/office/drawing/2010/main" val="0"/>
            </a:ext>
          </a:extLst>
        </a:blip>
        <a:srcRect/>
        <a:stretch>
          <a:fillRect/>
        </a:stretch>
      </xdr:blipFill>
      <xdr:spPr bwMode="auto">
        <a:xfrm>
          <a:off x="792480" y="457200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220980</xdr:colOff>
      <xdr:row>26</xdr:row>
      <xdr:rowOff>114300</xdr:rowOff>
    </xdr:to>
    <xdr:pic>
      <xdr:nvPicPr>
        <xdr:cNvPr id="29" name="Image 28" descr="https://upload.wikimedia.org/wikipedia/commons/thumb/8/85/Flag_of_Belarus.svg/23px-Flag_of_Belarus.svg.png"/>
        <xdr:cNvPicPr>
          <a:picLocks noChangeAspect="1" noChangeArrowheads="1"/>
        </xdr:cNvPicPr>
      </xdr:nvPicPr>
      <xdr:blipFill>
        <a:blip xmlns:r="http://schemas.openxmlformats.org/officeDocument/2006/relationships" r:embed="rId28">
          <a:extLst>
            <a:ext uri="{28A0092B-C50C-407E-A947-70E740481C1C}">
              <a14:useLocalDpi xmlns:a14="http://schemas.microsoft.com/office/drawing/2010/main" val="0"/>
            </a:ext>
          </a:extLst>
        </a:blip>
        <a:srcRect/>
        <a:stretch>
          <a:fillRect/>
        </a:stretch>
      </xdr:blipFill>
      <xdr:spPr bwMode="auto">
        <a:xfrm>
          <a:off x="792480" y="47548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26</xdr:row>
      <xdr:rowOff>0</xdr:rowOff>
    </xdr:from>
    <xdr:to>
      <xdr:col>0</xdr:col>
      <xdr:colOff>220980</xdr:colOff>
      <xdr:row>26</xdr:row>
      <xdr:rowOff>114300</xdr:rowOff>
    </xdr:to>
    <xdr:pic>
      <xdr:nvPicPr>
        <xdr:cNvPr id="30" name="Image 29" descr="https://upload.wikimedia.org/wikipedia/commons/thumb/f/f0/Flag_of_Slovenia.svg/23px-Flag_of_Slovenia.svg.png"/>
        <xdr:cNvPicPr>
          <a:picLocks noChangeAspect="1" noChangeArrowheads="1"/>
        </xdr:cNvPicPr>
      </xdr:nvPicPr>
      <xdr:blipFill>
        <a:blip xmlns:r="http://schemas.openxmlformats.org/officeDocument/2006/relationships" r:embed="rId29">
          <a:extLst>
            <a:ext uri="{28A0092B-C50C-407E-A947-70E740481C1C}">
              <a14:useLocalDpi xmlns:a14="http://schemas.microsoft.com/office/drawing/2010/main" val="0"/>
            </a:ext>
          </a:extLst>
        </a:blip>
        <a:srcRect/>
        <a:stretch>
          <a:fillRect/>
        </a:stretch>
      </xdr:blipFill>
      <xdr:spPr bwMode="auto">
        <a:xfrm>
          <a:off x="792480" y="475488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27</xdr:row>
      <xdr:rowOff>0</xdr:rowOff>
    </xdr:from>
    <xdr:to>
      <xdr:col>0</xdr:col>
      <xdr:colOff>220980</xdr:colOff>
      <xdr:row>27</xdr:row>
      <xdr:rowOff>137160</xdr:rowOff>
    </xdr:to>
    <xdr:pic>
      <xdr:nvPicPr>
        <xdr:cNvPr id="31" name="Image 30" descr="https://upload.wikimedia.org/wikipedia/commons/thumb/1/11/Flag_of_Lithuania.svg/23px-Flag_of_Lithuania.svg.png"/>
        <xdr:cNvPicPr>
          <a:picLocks noChangeAspect="1" noChangeArrowheads="1"/>
        </xdr:cNvPicPr>
      </xdr:nvPicPr>
      <xdr:blipFill>
        <a:blip xmlns:r="http://schemas.openxmlformats.org/officeDocument/2006/relationships" r:embed="rId30">
          <a:extLst>
            <a:ext uri="{28A0092B-C50C-407E-A947-70E740481C1C}">
              <a14:useLocalDpi xmlns:a14="http://schemas.microsoft.com/office/drawing/2010/main" val="0"/>
            </a:ext>
          </a:extLst>
        </a:blip>
        <a:srcRect/>
        <a:stretch>
          <a:fillRect/>
        </a:stretch>
      </xdr:blipFill>
      <xdr:spPr bwMode="auto">
        <a:xfrm>
          <a:off x="792480" y="4937760"/>
          <a:ext cx="220980" cy="1371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144780</xdr:rowOff>
    </xdr:to>
    <xdr:pic>
      <xdr:nvPicPr>
        <xdr:cNvPr id="32" name="Image 31" descr="https://upload.wikimedia.org/wikipedia/commons/thumb/f/ff/Flag_of_Serbia.svg/23px-Flag_of_Serbia.svg.png"/>
        <xdr:cNvPicPr>
          <a:picLocks noChangeAspect="1" noChangeArrowheads="1"/>
        </xdr:cNvPicPr>
      </xdr:nvPicPr>
      <xdr:blipFill>
        <a:blip xmlns:r="http://schemas.openxmlformats.org/officeDocument/2006/relationships" r:embed="rId31">
          <a:extLst>
            <a:ext uri="{28A0092B-C50C-407E-A947-70E740481C1C}">
              <a14:useLocalDpi xmlns:a14="http://schemas.microsoft.com/office/drawing/2010/main" val="0"/>
            </a:ext>
          </a:extLst>
        </a:blip>
        <a:srcRect/>
        <a:stretch>
          <a:fillRect/>
        </a:stretch>
      </xdr:blipFill>
      <xdr:spPr bwMode="auto">
        <a:xfrm>
          <a:off x="792480" y="512064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114300</xdr:rowOff>
    </xdr:to>
    <xdr:pic>
      <xdr:nvPicPr>
        <xdr:cNvPr id="33" name="Image 32" descr="https://upload.wikimedia.org/wikipedia/commons/thumb/d/dd/Flag_of_Azerbaijan.svg/23px-Flag_of_Azerbaijan.svg.png"/>
        <xdr:cNvPicPr>
          <a:picLocks noChangeAspect="1" noChangeArrowheads="1"/>
        </xdr:cNvPicPr>
      </xdr:nvPicPr>
      <xdr:blipFill>
        <a:blip xmlns:r="http://schemas.openxmlformats.org/officeDocument/2006/relationships" r:embed="rId32">
          <a:extLst>
            <a:ext uri="{28A0092B-C50C-407E-A947-70E740481C1C}">
              <a14:useLocalDpi xmlns:a14="http://schemas.microsoft.com/office/drawing/2010/main" val="0"/>
            </a:ext>
          </a:extLst>
        </a:blip>
        <a:srcRect/>
        <a:stretch>
          <a:fillRect/>
        </a:stretch>
      </xdr:blipFill>
      <xdr:spPr bwMode="auto">
        <a:xfrm>
          <a:off x="792480" y="5120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28</xdr:row>
      <xdr:rowOff>0</xdr:rowOff>
    </xdr:from>
    <xdr:to>
      <xdr:col>0</xdr:col>
      <xdr:colOff>220980</xdr:colOff>
      <xdr:row>28</xdr:row>
      <xdr:rowOff>114300</xdr:rowOff>
    </xdr:to>
    <xdr:pic>
      <xdr:nvPicPr>
        <xdr:cNvPr id="34" name="Image 33" descr="https://upload.wikimedia.org/wikipedia/commons/thumb/8/84/Flag_of_Latvia.svg/23px-Flag_of_Latvia.svg.png"/>
        <xdr:cNvPicPr>
          <a:picLocks noChangeAspect="1" noChangeArrowheads="1"/>
        </xdr:cNvPicPr>
      </xdr:nvPicPr>
      <xdr:blipFill>
        <a:blip xmlns:r="http://schemas.openxmlformats.org/officeDocument/2006/relationships" r:embed="rId33">
          <a:extLst>
            <a:ext uri="{28A0092B-C50C-407E-A947-70E740481C1C}">
              <a14:useLocalDpi xmlns:a14="http://schemas.microsoft.com/office/drawing/2010/main" val="0"/>
            </a:ext>
          </a:extLst>
        </a:blip>
        <a:srcRect/>
        <a:stretch>
          <a:fillRect/>
        </a:stretch>
      </xdr:blipFill>
      <xdr:spPr bwMode="auto">
        <a:xfrm>
          <a:off x="792480" y="512064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29</xdr:row>
      <xdr:rowOff>0</xdr:rowOff>
    </xdr:from>
    <xdr:to>
      <xdr:col>0</xdr:col>
      <xdr:colOff>220980</xdr:colOff>
      <xdr:row>29</xdr:row>
      <xdr:rowOff>144780</xdr:rowOff>
    </xdr:to>
    <xdr:pic>
      <xdr:nvPicPr>
        <xdr:cNvPr id="35" name="Image 34" descr="https://upload.wikimedia.org/wikipedia/commons/thumb/8/8f/Flag_of_Estonia.svg/23px-Flag_of_Estonia.svg.png"/>
        <xdr:cNvPicPr>
          <a:picLocks noChangeAspect="1" noChangeArrowheads="1"/>
        </xdr:cNvPicPr>
      </xdr:nvPicPr>
      <xdr:blipFill>
        <a:blip xmlns:r="http://schemas.openxmlformats.org/officeDocument/2006/relationships" r:embed="rId34">
          <a:extLst>
            <a:ext uri="{28A0092B-C50C-407E-A947-70E740481C1C}">
              <a14:useLocalDpi xmlns:a14="http://schemas.microsoft.com/office/drawing/2010/main" val="0"/>
            </a:ext>
          </a:extLst>
        </a:blip>
        <a:srcRect/>
        <a:stretch>
          <a:fillRect/>
        </a:stretch>
      </xdr:blipFill>
      <xdr:spPr bwMode="auto">
        <a:xfrm>
          <a:off x="792480" y="530352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30</xdr:row>
      <xdr:rowOff>0</xdr:rowOff>
    </xdr:from>
    <xdr:to>
      <xdr:col>0</xdr:col>
      <xdr:colOff>198120</xdr:colOff>
      <xdr:row>30</xdr:row>
      <xdr:rowOff>144780</xdr:rowOff>
    </xdr:to>
    <xdr:pic>
      <xdr:nvPicPr>
        <xdr:cNvPr id="36" name="Image 35" descr="https://upload.wikimedia.org/wikipedia/commons/thumb/c/ce/Flag_of_Iceland.svg/21px-Flag_of_Iceland.svg.png"/>
        <xdr:cNvPicPr>
          <a:picLocks noChangeAspect="1" noChangeArrowheads="1"/>
        </xdr:cNvPicPr>
      </xdr:nvPicPr>
      <xdr:blipFill>
        <a:blip xmlns:r="http://schemas.openxmlformats.org/officeDocument/2006/relationships" r:embed="rId35">
          <a:extLst>
            <a:ext uri="{28A0092B-C50C-407E-A947-70E740481C1C}">
              <a14:useLocalDpi xmlns:a14="http://schemas.microsoft.com/office/drawing/2010/main" val="0"/>
            </a:ext>
          </a:extLst>
        </a:blip>
        <a:srcRect/>
        <a:stretch>
          <a:fillRect/>
        </a:stretch>
      </xdr:blipFill>
      <xdr:spPr bwMode="auto">
        <a:xfrm>
          <a:off x="792480" y="548640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31</xdr:row>
      <xdr:rowOff>0</xdr:rowOff>
    </xdr:from>
    <xdr:to>
      <xdr:col>0</xdr:col>
      <xdr:colOff>220980</xdr:colOff>
      <xdr:row>31</xdr:row>
      <xdr:rowOff>144780</xdr:rowOff>
    </xdr:to>
    <xdr:pic>
      <xdr:nvPicPr>
        <xdr:cNvPr id="37" name="Image 36" descr="https://upload.wikimedia.org/wikipedia/commons/thumb/d/d4/Flag_of_Cyprus.svg/23px-Flag_of_Cyprus.svg.png"/>
        <xdr:cNvPicPr>
          <a:picLocks noChangeAspect="1" noChangeArrowheads="1"/>
        </xdr:cNvPicPr>
      </xdr:nvPicPr>
      <xdr:blipFill>
        <a:blip xmlns:r="http://schemas.openxmlformats.org/officeDocument/2006/relationships" r:embed="rId36">
          <a:extLst>
            <a:ext uri="{28A0092B-C50C-407E-A947-70E740481C1C}">
              <a14:useLocalDpi xmlns:a14="http://schemas.microsoft.com/office/drawing/2010/main" val="0"/>
            </a:ext>
          </a:extLst>
        </a:blip>
        <a:srcRect/>
        <a:stretch>
          <a:fillRect/>
        </a:stretch>
      </xdr:blipFill>
      <xdr:spPr bwMode="auto">
        <a:xfrm>
          <a:off x="792480" y="566928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114300</xdr:rowOff>
    </xdr:to>
    <xdr:pic>
      <xdr:nvPicPr>
        <xdr:cNvPr id="38" name="Image 37" descr="https://upload.wikimedia.org/wikipedia/commons/thumb/b/bf/Flag_of_Bosnia_and_Herzegovina.svg/23px-Flag_of_Bosnia_and_Herzegovina.svg.png"/>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792480" y="5852160"/>
          <a:ext cx="220980" cy="114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144780</xdr:rowOff>
    </xdr:to>
    <xdr:pic>
      <xdr:nvPicPr>
        <xdr:cNvPr id="39" name="Image 38" descr="https://upload.wikimedia.org/wikipedia/commons/thumb/0/0f/Flag_of_Georgia.svg/23px-Flag_of_Georgia.svg.png"/>
        <xdr:cNvPicPr>
          <a:picLocks noChangeAspect="1" noChangeArrowheads="1"/>
        </xdr:cNvPicPr>
      </xdr:nvPicPr>
      <xdr:blipFill>
        <a:blip xmlns:r="http://schemas.openxmlformats.org/officeDocument/2006/relationships" r:embed="rId38">
          <a:extLst>
            <a:ext uri="{28A0092B-C50C-407E-A947-70E740481C1C}">
              <a14:useLocalDpi xmlns:a14="http://schemas.microsoft.com/office/drawing/2010/main" val="0"/>
            </a:ext>
          </a:extLst>
        </a:blip>
        <a:srcRect/>
        <a:stretch>
          <a:fillRect/>
        </a:stretch>
      </xdr:blipFill>
      <xdr:spPr bwMode="auto">
        <a:xfrm>
          <a:off x="792480" y="5852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198120</xdr:colOff>
      <xdr:row>32</xdr:row>
      <xdr:rowOff>144780</xdr:rowOff>
    </xdr:to>
    <xdr:pic>
      <xdr:nvPicPr>
        <xdr:cNvPr id="40" name="Image 39" descr="https://upload.wikimedia.org/wikipedia/commons/thumb/3/36/Flag_of_Albania.svg/21px-Flag_of_Albania.svg.png"/>
        <xdr:cNvPicPr>
          <a:picLocks noChangeAspect="1" noChangeArrowheads="1"/>
        </xdr:cNvPicPr>
      </xdr:nvPicPr>
      <xdr:blipFill>
        <a:blip xmlns:r="http://schemas.openxmlformats.org/officeDocument/2006/relationships" r:embed="rId39">
          <a:extLst>
            <a:ext uri="{28A0092B-C50C-407E-A947-70E740481C1C}">
              <a14:useLocalDpi xmlns:a14="http://schemas.microsoft.com/office/drawing/2010/main" val="0"/>
            </a:ext>
          </a:extLst>
        </a:blip>
        <a:srcRect/>
        <a:stretch>
          <a:fillRect/>
        </a:stretch>
      </xdr:blipFill>
      <xdr:spPr bwMode="auto">
        <a:xfrm>
          <a:off x="792480" y="5852160"/>
          <a:ext cx="1981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32</xdr:row>
      <xdr:rowOff>0</xdr:rowOff>
    </xdr:from>
    <xdr:to>
      <xdr:col>0</xdr:col>
      <xdr:colOff>220980</xdr:colOff>
      <xdr:row>32</xdr:row>
      <xdr:rowOff>144780</xdr:rowOff>
    </xdr:to>
    <xdr:pic>
      <xdr:nvPicPr>
        <xdr:cNvPr id="41" name="Image 40" descr="https://upload.wikimedia.org/wikipedia/commons/thumb/7/73/Flag_of_Malta.svg/23px-Flag_of_Malta.svg.png"/>
        <xdr:cNvPicPr>
          <a:picLocks noChangeAspect="1" noChangeArrowheads="1"/>
        </xdr:cNvPicPr>
      </xdr:nvPicPr>
      <xdr:blipFill>
        <a:blip xmlns:r="http://schemas.openxmlformats.org/officeDocument/2006/relationships" r:embed="rId40">
          <a:extLst>
            <a:ext uri="{28A0092B-C50C-407E-A947-70E740481C1C}">
              <a14:useLocalDpi xmlns:a14="http://schemas.microsoft.com/office/drawing/2010/main" val="0"/>
            </a:ext>
          </a:extLst>
        </a:blip>
        <a:srcRect/>
        <a:stretch>
          <a:fillRect/>
        </a:stretch>
      </xdr:blipFill>
      <xdr:spPr bwMode="auto">
        <a:xfrm>
          <a:off x="792480" y="5852160"/>
          <a:ext cx="2209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xdr:col>
      <xdr:colOff>0</xdr:colOff>
      <xdr:row>2</xdr:row>
      <xdr:rowOff>0</xdr:rowOff>
    </xdr:from>
    <xdr:to>
      <xdr:col>18</xdr:col>
      <xdr:colOff>396240</xdr:colOff>
      <xdr:row>9</xdr:row>
      <xdr:rowOff>171154</xdr:rowOff>
    </xdr:to>
    <xdr:pic>
      <xdr:nvPicPr>
        <xdr:cNvPr id="42" name="Image 41"/>
        <xdr:cNvPicPr>
          <a:picLocks noChangeAspect="1" noChangeArrowheads="1"/>
        </xdr:cNvPicPr>
      </xdr:nvPicPr>
      <xdr:blipFill>
        <a:blip xmlns:r="http://schemas.openxmlformats.org/officeDocument/2006/relationships" r:embed="rId41">
          <a:extLst>
            <a:ext uri="{28A0092B-C50C-407E-A947-70E740481C1C}">
              <a14:useLocalDpi xmlns:a14="http://schemas.microsoft.com/office/drawing/2010/main" val="0"/>
            </a:ext>
          </a:extLst>
        </a:blip>
        <a:srcRect/>
        <a:stretch>
          <a:fillRect/>
        </a:stretch>
      </xdr:blipFill>
      <xdr:spPr bwMode="auto">
        <a:xfrm>
          <a:off x="13807440" y="563880"/>
          <a:ext cx="4381500" cy="1451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centralbanking.com/central-banks/economics/4738011/the-cost-of-decarbonisation" TargetMode="External"/><Relationship Id="rId13" Type="http://schemas.openxmlformats.org/officeDocument/2006/relationships/hyperlink" Target="https://www.economist.com/europe/2021/05/15/plentiful-renewable-energy-is-opening-up-a-new-industrial-frontier" TargetMode="External"/><Relationship Id="rId3" Type="http://schemas.openxmlformats.org/officeDocument/2006/relationships/hyperlink" Target="https://atb.nrel.gov/electricity/2020/data.php" TargetMode="External"/><Relationship Id="rId7" Type="http://schemas.openxmlformats.org/officeDocument/2006/relationships/hyperlink" Target="https://energyvault.com/" TargetMode="External"/><Relationship Id="rId12" Type="http://schemas.openxmlformats.org/officeDocument/2006/relationships/hyperlink" Target="http://needtoknow.nas.edu/energy/energy-efficiency/industrial-efficiency/" TargetMode="External"/><Relationship Id="rId2" Type="http://schemas.openxmlformats.org/officeDocument/2006/relationships/hyperlink" Target="http://www.brighthubengineering.com/power-plants/72369-compare-the-efficiency-of-different-power-plants/" TargetMode="External"/><Relationship Id="rId1" Type="http://schemas.openxmlformats.org/officeDocument/2006/relationships/hyperlink" Target="http://www.iipinetwork.org/wp-content/Ietd/content/electric-arc-furnace.html" TargetMode="External"/><Relationship Id="rId6" Type="http://schemas.openxmlformats.org/officeDocument/2006/relationships/hyperlink" Target="http://www.isd-engineering.com/" TargetMode="External"/><Relationship Id="rId11" Type="http://schemas.openxmlformats.org/officeDocument/2006/relationships/hyperlink" Target="https://atb.nrel.gov/electricity/2020/data.php" TargetMode="External"/><Relationship Id="rId5" Type="http://schemas.openxmlformats.org/officeDocument/2006/relationships/hyperlink" Target="https://energieplus-lesite.be/theories/chauffage11/rendement-d-une-chaudiere/" TargetMode="External"/><Relationship Id="rId10" Type="http://schemas.openxmlformats.org/officeDocument/2006/relationships/hyperlink" Target="http://www.hydropower.org/sites/default/files/publications-docs/the_worlds_water_battery_-_pumped_storage_and_the_clean_energy_transition_2.pdf" TargetMode="External"/><Relationship Id="rId4" Type="http://schemas.openxmlformats.org/officeDocument/2006/relationships/hyperlink" Target="http://www.hubspeicher.de/kostenbeispiele.htm" TargetMode="External"/><Relationship Id="rId9" Type="http://schemas.openxmlformats.org/officeDocument/2006/relationships/hyperlink" Target="https://cornucopia.cornubot.se/2019/02/internet-drar-10-av-varldens.html" TargetMode="External"/><Relationship Id="rId1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sciencedirect.com/science/article/pii/S0959652618326301" TargetMode="External"/><Relationship Id="rId3" Type="http://schemas.openxmlformats.org/officeDocument/2006/relationships/hyperlink" Target="https://www.energy.gov/eere/fuelcells/doe-technical-targets-hydrogen-production-electrolysis" TargetMode="External"/><Relationship Id="rId7" Type="http://schemas.openxmlformats.org/officeDocument/2006/relationships/hyperlink" Target="https://www.iea.org/reports/renewables-2022/renewable-electricity" TargetMode="External"/><Relationship Id="rId12" Type="http://schemas.openxmlformats.org/officeDocument/2006/relationships/drawing" Target="../drawings/drawing1.xml"/><Relationship Id="rId2" Type="http://schemas.openxmlformats.org/officeDocument/2006/relationships/hyperlink" Target="https://www.sciencedirect.com/topics/engineering/hydrogen-production-cost" TargetMode="External"/><Relationship Id="rId1" Type="http://schemas.openxmlformats.org/officeDocument/2006/relationships/hyperlink" Target="https://energypost.eu/10-carbon-capture-methods-compared-costs-scalability-permanence-cleanness/" TargetMode="External"/><Relationship Id="rId6" Type="http://schemas.openxmlformats.org/officeDocument/2006/relationships/hyperlink" Target="https://www.economist.com/international/2020/12/05/the-pandemic-may-be-encouraging-people-to-live-in-larger-groups" TargetMode="External"/><Relationship Id="rId11" Type="http://schemas.openxmlformats.org/officeDocument/2006/relationships/printerSettings" Target="../printerSettings/printerSettings2.bin"/><Relationship Id="rId5" Type="http://schemas.openxmlformats.org/officeDocument/2006/relationships/hyperlink" Target="https://www.observatoire-climat-energie.fr/energie/consommation-denergie/energies-fossiles/" TargetMode="External"/><Relationship Id="rId10" Type="http://schemas.openxmlformats.org/officeDocument/2006/relationships/hyperlink" Target="https://www.oberlo.com/blog/google-search-statistics" TargetMode="External"/><Relationship Id="rId4" Type="http://schemas.openxmlformats.org/officeDocument/2006/relationships/hyperlink" Target="http://www.journal-eolien.org/tout-sur-l-eolien/la-production-d-electricite-eolienne/" TargetMode="External"/><Relationship Id="rId9" Type="http://schemas.openxmlformats.org/officeDocument/2006/relationships/hyperlink" Target="https://kaspergroesludvigsen.medium.com/chatgpts-electricity-consumption-pt-ii-225e7e43f22b"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9"/>
  <sheetViews>
    <sheetView topLeftCell="A25" zoomScaleNormal="100" workbookViewId="0">
      <selection activeCell="G44" sqref="G44"/>
    </sheetView>
  </sheetViews>
  <sheetFormatPr baseColWidth="10" defaultColWidth="8.88671875" defaultRowHeight="14.4" x14ac:dyDescent="0.3"/>
  <cols>
    <col min="1" max="1" width="34.77734375" style="148" customWidth="1"/>
    <col min="2" max="2" width="10.5546875" style="166" customWidth="1"/>
    <col min="3" max="3" width="9.33203125" style="148" customWidth="1"/>
    <col min="4" max="4" width="10.5546875" style="148" customWidth="1"/>
    <col min="5" max="5" width="11.5546875" style="166" customWidth="1"/>
    <col min="6" max="6" width="9.44140625" style="148" customWidth="1"/>
    <col min="7" max="7" width="8" style="148" customWidth="1"/>
    <col min="8" max="8" width="8.109375" style="148" customWidth="1"/>
    <col min="9" max="9" width="7.5546875" style="148" customWidth="1"/>
    <col min="10" max="13" width="8.88671875" style="148" customWidth="1"/>
    <col min="14" max="1023" width="8.88671875" customWidth="1"/>
    <col min="1024" max="1025" width="11.5546875"/>
  </cols>
  <sheetData>
    <row r="1" spans="1:1024" s="1" customFormat="1" ht="15" customHeight="1" thickBot="1" x14ac:dyDescent="0.35">
      <c r="A1" s="357" t="s">
        <v>215</v>
      </c>
      <c r="B1" s="357"/>
      <c r="C1" s="357"/>
      <c r="D1" s="357"/>
      <c r="E1" s="357"/>
      <c r="F1" s="357"/>
      <c r="G1" s="357"/>
      <c r="H1" s="357"/>
      <c r="I1" s="357"/>
      <c r="J1" s="357"/>
      <c r="K1" s="357"/>
      <c r="L1" s="357"/>
      <c r="M1" s="357"/>
      <c r="AMJ1"/>
    </row>
    <row r="2" spans="1:1024" s="65" customFormat="1" ht="15.6" customHeight="1" x14ac:dyDescent="0.3">
      <c r="A2" s="129" t="s">
        <v>57</v>
      </c>
      <c r="B2" s="130"/>
      <c r="C2" s="130"/>
      <c r="D2" s="130"/>
      <c r="E2" s="130"/>
      <c r="F2" s="130"/>
      <c r="G2" s="131"/>
      <c r="H2" s="131"/>
      <c r="I2" s="131"/>
      <c r="J2" s="131"/>
      <c r="K2" s="131"/>
      <c r="L2" s="131"/>
      <c r="M2" s="131"/>
      <c r="AMJ2" s="64"/>
    </row>
    <row r="3" spans="1:1024" s="1" customFormat="1" ht="83.4" customHeight="1" x14ac:dyDescent="0.3">
      <c r="A3" s="358" t="s">
        <v>318</v>
      </c>
      <c r="B3" s="358"/>
      <c r="C3" s="358"/>
      <c r="D3" s="358"/>
      <c r="E3" s="358"/>
      <c r="F3" s="358"/>
      <c r="G3" s="358"/>
      <c r="H3" s="358"/>
      <c r="I3" s="358"/>
      <c r="J3" s="358"/>
      <c r="K3" s="358"/>
      <c r="L3" s="358"/>
      <c r="M3" s="358"/>
      <c r="AMJ3"/>
    </row>
    <row r="4" spans="1:1024" s="1" customFormat="1" ht="15" customHeight="1" x14ac:dyDescent="0.3">
      <c r="A4" s="301" t="s">
        <v>317</v>
      </c>
      <c r="B4" s="130"/>
      <c r="C4" s="130"/>
      <c r="D4" s="130"/>
      <c r="E4" s="130"/>
      <c r="F4" s="130"/>
      <c r="G4" s="130"/>
      <c r="H4" s="130"/>
      <c r="I4" s="130"/>
      <c r="J4" s="130"/>
      <c r="K4" s="130"/>
      <c r="L4" s="130"/>
      <c r="M4" s="132"/>
      <c r="AMJ4"/>
    </row>
    <row r="5" spans="1:1024" s="1" customFormat="1" x14ac:dyDescent="0.3">
      <c r="A5" s="302"/>
      <c r="B5" s="133"/>
      <c r="C5" s="359" t="s">
        <v>64</v>
      </c>
      <c r="D5" s="360"/>
      <c r="E5" s="134"/>
      <c r="F5" s="132"/>
      <c r="G5" s="132"/>
      <c r="H5" s="132"/>
      <c r="I5" s="132"/>
      <c r="J5" s="132"/>
      <c r="K5" s="132"/>
      <c r="L5" s="132"/>
      <c r="M5" s="132"/>
      <c r="AMJ5"/>
    </row>
    <row r="6" spans="1:1024" s="1" customFormat="1" ht="32.4" customHeight="1" x14ac:dyDescent="0.3">
      <c r="A6" s="303" t="s">
        <v>58</v>
      </c>
      <c r="B6" s="136" t="s">
        <v>60</v>
      </c>
      <c r="C6" s="137" t="s">
        <v>61</v>
      </c>
      <c r="D6" s="138" t="s">
        <v>62</v>
      </c>
      <c r="E6" s="139" t="s">
        <v>63</v>
      </c>
      <c r="F6" s="140" t="s">
        <v>11</v>
      </c>
      <c r="G6" s="140"/>
      <c r="H6" s="140"/>
      <c r="I6" s="140"/>
      <c r="J6" s="140"/>
      <c r="K6" s="141"/>
      <c r="L6" s="141"/>
      <c r="M6" s="132"/>
      <c r="AMJ6"/>
    </row>
    <row r="7" spans="1:1024" x14ac:dyDescent="0.3">
      <c r="A7" s="304" t="s">
        <v>59</v>
      </c>
      <c r="B7" s="143"/>
      <c r="C7" s="144">
        <v>134000</v>
      </c>
      <c r="D7" s="145"/>
      <c r="E7" s="146">
        <v>100</v>
      </c>
      <c r="F7" s="147" t="s">
        <v>35</v>
      </c>
      <c r="J7" s="148" t="s">
        <v>80</v>
      </c>
    </row>
    <row r="8" spans="1:1024" x14ac:dyDescent="0.3">
      <c r="A8" s="305" t="s">
        <v>65</v>
      </c>
      <c r="B8" s="150">
        <v>0.84</v>
      </c>
      <c r="C8" s="151">
        <f>$C$7/100*E8</f>
        <v>40200</v>
      </c>
      <c r="D8" s="152">
        <f>C8*B8</f>
        <v>33768</v>
      </c>
      <c r="E8" s="153">
        <v>30</v>
      </c>
      <c r="F8" s="147" t="s">
        <v>33</v>
      </c>
    </row>
    <row r="9" spans="1:1024" x14ac:dyDescent="0.3">
      <c r="A9" s="305" t="s">
        <v>66</v>
      </c>
      <c r="B9" s="150">
        <v>0.5</v>
      </c>
      <c r="C9" s="151">
        <f>$C$7/100*E9</f>
        <v>24120</v>
      </c>
      <c r="D9" s="152">
        <f>C9*B9</f>
        <v>12060</v>
      </c>
      <c r="E9" s="153">
        <v>18</v>
      </c>
      <c r="F9" s="154" t="s">
        <v>75</v>
      </c>
    </row>
    <row r="10" spans="1:1024" x14ac:dyDescent="0.3">
      <c r="A10" s="305" t="s">
        <v>67</v>
      </c>
      <c r="B10" s="150">
        <v>1</v>
      </c>
      <c r="C10" s="151">
        <f>$C$7/100*E10</f>
        <v>13400</v>
      </c>
      <c r="D10" s="152">
        <f>C10*B10</f>
        <v>13400</v>
      </c>
      <c r="E10" s="153">
        <v>10</v>
      </c>
      <c r="F10" s="155" t="s">
        <v>74</v>
      </c>
    </row>
    <row r="11" spans="1:1024" x14ac:dyDescent="0.3">
      <c r="A11" s="305" t="s">
        <v>68</v>
      </c>
      <c r="B11" s="150">
        <v>1</v>
      </c>
      <c r="C11" s="151">
        <f>$C$7/100*E11</f>
        <v>8040</v>
      </c>
      <c r="D11" s="152">
        <f>C11*B11</f>
        <v>8040</v>
      </c>
      <c r="E11" s="153">
        <v>6</v>
      </c>
    </row>
    <row r="12" spans="1:1024" x14ac:dyDescent="0.3">
      <c r="A12" s="305" t="s">
        <v>69</v>
      </c>
      <c r="B12" s="150">
        <f>E26</f>
        <v>0.79449999999999998</v>
      </c>
      <c r="C12" s="151">
        <f>$C$7/100*E12</f>
        <v>32160</v>
      </c>
      <c r="D12" s="152">
        <f>C12*B12</f>
        <v>25551.119999999999</v>
      </c>
      <c r="E12" s="153">
        <v>24</v>
      </c>
      <c r="F12" s="156"/>
    </row>
    <row r="13" spans="1:1024" x14ac:dyDescent="0.3">
      <c r="A13" s="306" t="s">
        <v>70</v>
      </c>
      <c r="B13" s="157">
        <v>0.4</v>
      </c>
      <c r="C13" s="158">
        <f>C31</f>
        <v>17280</v>
      </c>
      <c r="D13" s="159">
        <f>D31</f>
        <v>6912</v>
      </c>
      <c r="E13" s="160">
        <v>12</v>
      </c>
      <c r="F13" s="154" t="s">
        <v>76</v>
      </c>
    </row>
    <row r="14" spans="1:1024" ht="15" thickBot="1" x14ac:dyDescent="0.35">
      <c r="A14" s="303" t="s">
        <v>71</v>
      </c>
      <c r="B14" s="133"/>
      <c r="C14" s="161"/>
      <c r="D14" s="162">
        <f>SUM(D8:D13)</f>
        <v>99731.12</v>
      </c>
      <c r="E14" s="153">
        <f>SUM(E8:E13)</f>
        <v>100</v>
      </c>
      <c r="F14" s="163" t="s">
        <v>36</v>
      </c>
    </row>
    <row r="15" spans="1:1024" ht="15" thickTop="1" x14ac:dyDescent="0.3">
      <c r="A15" s="135"/>
      <c r="B15" s="133"/>
      <c r="C15" s="161"/>
      <c r="D15" s="164"/>
      <c r="E15" s="153"/>
      <c r="F15" s="165" t="s">
        <v>73</v>
      </c>
    </row>
    <row r="16" spans="1:1024" x14ac:dyDescent="0.3">
      <c r="A16" s="149" t="s">
        <v>72</v>
      </c>
      <c r="C16" s="167"/>
      <c r="D16" s="152">
        <f>D14/365/24*30</f>
        <v>341.54493150684925</v>
      </c>
      <c r="E16" s="153"/>
      <c r="F16" s="168" t="s">
        <v>83</v>
      </c>
    </row>
    <row r="17" spans="1:12" ht="12.6" customHeight="1" x14ac:dyDescent="0.3">
      <c r="A17" s="149"/>
      <c r="C17" s="169"/>
      <c r="D17" s="170"/>
      <c r="E17" s="171"/>
      <c r="F17" s="168"/>
    </row>
    <row r="18" spans="1:12" ht="10.8" customHeight="1" x14ac:dyDescent="0.3">
      <c r="A18" s="149"/>
      <c r="E18" s="172"/>
    </row>
    <row r="19" spans="1:12" ht="28.8" x14ac:dyDescent="0.3">
      <c r="A19" s="307" t="s">
        <v>69</v>
      </c>
      <c r="B19" s="173"/>
      <c r="C19" s="174" t="s">
        <v>79</v>
      </c>
      <c r="D19" s="175"/>
      <c r="E19" s="176" t="s">
        <v>77</v>
      </c>
    </row>
    <row r="20" spans="1:12" x14ac:dyDescent="0.3">
      <c r="A20" s="305" t="s">
        <v>78</v>
      </c>
      <c r="B20" s="150">
        <v>0.85</v>
      </c>
      <c r="C20" s="166">
        <v>29</v>
      </c>
      <c r="E20" s="177">
        <f t="shared" ref="E20:E25" si="0">B20*C20/100</f>
        <v>0.2465</v>
      </c>
      <c r="F20" s="178" t="s">
        <v>34</v>
      </c>
    </row>
    <row r="21" spans="1:12" x14ac:dyDescent="0.3">
      <c r="A21" s="305" t="s">
        <v>81</v>
      </c>
      <c r="B21" s="150">
        <v>0.9</v>
      </c>
      <c r="C21" s="166">
        <v>20</v>
      </c>
      <c r="E21" s="177">
        <f t="shared" si="0"/>
        <v>0.18</v>
      </c>
      <c r="F21" s="178" t="s">
        <v>1</v>
      </c>
      <c r="L21" s="179"/>
    </row>
    <row r="22" spans="1:12" x14ac:dyDescent="0.3">
      <c r="A22" s="305" t="s">
        <v>82</v>
      </c>
      <c r="B22" s="150">
        <v>1</v>
      </c>
      <c r="C22" s="166">
        <v>10</v>
      </c>
      <c r="D22" s="180"/>
      <c r="E22" s="177">
        <f t="shared" si="0"/>
        <v>0.1</v>
      </c>
      <c r="F22" s="148" t="s">
        <v>88</v>
      </c>
      <c r="G22" s="181"/>
      <c r="H22" s="182"/>
    </row>
    <row r="23" spans="1:12" x14ac:dyDescent="0.3">
      <c r="A23" s="305" t="s">
        <v>32</v>
      </c>
      <c r="B23" s="150">
        <v>0.6</v>
      </c>
      <c r="C23" s="166">
        <v>6</v>
      </c>
      <c r="D23" s="180"/>
      <c r="E23" s="177">
        <f t="shared" si="0"/>
        <v>3.5999999999999997E-2</v>
      </c>
      <c r="G23" s="181"/>
      <c r="H23" s="182"/>
    </row>
    <row r="24" spans="1:12" x14ac:dyDescent="0.3">
      <c r="A24" s="305" t="s">
        <v>84</v>
      </c>
      <c r="B24" s="150">
        <v>0.8</v>
      </c>
      <c r="C24" s="166">
        <v>3</v>
      </c>
      <c r="E24" s="177">
        <f t="shared" si="0"/>
        <v>2.4000000000000004E-2</v>
      </c>
    </row>
    <row r="25" spans="1:12" x14ac:dyDescent="0.3">
      <c r="A25" s="306" t="s">
        <v>85</v>
      </c>
      <c r="B25" s="157">
        <v>0.65</v>
      </c>
      <c r="C25" s="183">
        <v>32</v>
      </c>
      <c r="D25" s="184"/>
      <c r="E25" s="185">
        <f t="shared" si="0"/>
        <v>0.20800000000000002</v>
      </c>
      <c r="F25" s="148" t="s">
        <v>86</v>
      </c>
      <c r="G25" s="186"/>
    </row>
    <row r="26" spans="1:12" x14ac:dyDescent="0.3">
      <c r="A26" s="308" t="s">
        <v>87</v>
      </c>
      <c r="B26" s="150"/>
      <c r="D26" s="187"/>
      <c r="E26" s="188">
        <f>SUM(E20:E25)</f>
        <v>0.79449999999999998</v>
      </c>
    </row>
    <row r="27" spans="1:12" x14ac:dyDescent="0.3">
      <c r="A27" s="149"/>
      <c r="B27" s="150"/>
      <c r="E27" s="189"/>
      <c r="F27" s="190"/>
    </row>
    <row r="28" spans="1:12" x14ac:dyDescent="0.3">
      <c r="A28" s="149"/>
      <c r="B28" s="150"/>
      <c r="E28" s="189"/>
      <c r="F28" s="190"/>
    </row>
    <row r="29" spans="1:12" x14ac:dyDescent="0.3">
      <c r="A29" s="149"/>
      <c r="B29" s="150"/>
      <c r="D29" s="190"/>
      <c r="E29" s="171"/>
      <c r="F29" s="190"/>
    </row>
    <row r="30" spans="1:12" x14ac:dyDescent="0.3">
      <c r="A30" s="191" t="s">
        <v>89</v>
      </c>
      <c r="B30" s="157"/>
      <c r="C30" s="140">
        <v>27000</v>
      </c>
      <c r="D30" s="184"/>
      <c r="E30" s="192">
        <f>C30/C7</f>
        <v>0.20149253731343283</v>
      </c>
      <c r="F30" s="167"/>
      <c r="G30" s="186"/>
      <c r="L30" s="148" t="s">
        <v>37</v>
      </c>
    </row>
    <row r="31" spans="1:12" x14ac:dyDescent="0.3">
      <c r="A31" s="305" t="s">
        <v>90</v>
      </c>
      <c r="B31" s="150">
        <v>0.4</v>
      </c>
      <c r="C31" s="148">
        <f>C30/100*64</f>
        <v>17280</v>
      </c>
      <c r="D31" s="148">
        <f>C31*B31</f>
        <v>6912</v>
      </c>
      <c r="E31" s="171"/>
      <c r="F31" s="193" t="s">
        <v>2</v>
      </c>
    </row>
    <row r="32" spans="1:12" x14ac:dyDescent="0.3">
      <c r="A32" s="306" t="s">
        <v>91</v>
      </c>
      <c r="B32" s="157">
        <v>1</v>
      </c>
      <c r="C32" s="184">
        <f>C30-C31</f>
        <v>9720</v>
      </c>
      <c r="D32" s="184">
        <f>C32*B32</f>
        <v>9720</v>
      </c>
      <c r="E32" s="171"/>
      <c r="F32" s="363" t="s">
        <v>93</v>
      </c>
      <c r="G32" s="364"/>
      <c r="H32" s="364"/>
      <c r="I32" s="364"/>
      <c r="J32" s="364"/>
      <c r="K32" s="364"/>
      <c r="L32" s="364"/>
    </row>
    <row r="33" spans="1:1024" ht="15" thickBot="1" x14ac:dyDescent="0.35">
      <c r="A33" s="303" t="s">
        <v>92</v>
      </c>
      <c r="B33" s="150"/>
      <c r="D33" s="194">
        <f>D31+D32</f>
        <v>16632</v>
      </c>
      <c r="E33" s="171"/>
      <c r="F33" s="363"/>
      <c r="G33" s="364"/>
      <c r="H33" s="364"/>
      <c r="I33" s="364"/>
      <c r="J33" s="364"/>
      <c r="K33" s="364"/>
      <c r="L33" s="364"/>
    </row>
    <row r="34" spans="1:1024" ht="15" thickTop="1" x14ac:dyDescent="0.3">
      <c r="A34" s="149"/>
      <c r="B34" s="150"/>
      <c r="H34" s="182"/>
    </row>
    <row r="35" spans="1:1024" x14ac:dyDescent="0.3">
      <c r="B35" s="195"/>
      <c r="C35" s="196"/>
      <c r="D35" s="197"/>
      <c r="E35" s="198"/>
      <c r="F35" s="149"/>
      <c r="G35" s="199" t="s">
        <v>99</v>
      </c>
      <c r="H35" s="141"/>
      <c r="I35" s="141"/>
      <c r="J35" s="141"/>
      <c r="K35" s="141"/>
      <c r="L35" s="141"/>
    </row>
    <row r="36" spans="1:1024" ht="43.2" x14ac:dyDescent="0.3">
      <c r="A36" s="142" t="s">
        <v>207</v>
      </c>
      <c r="B36" s="200" t="s">
        <v>94</v>
      </c>
      <c r="C36" s="200" t="s">
        <v>95</v>
      </c>
      <c r="D36" s="200" t="s">
        <v>96</v>
      </c>
      <c r="E36" s="200" t="s">
        <v>97</v>
      </c>
      <c r="F36" s="200" t="s">
        <v>98</v>
      </c>
      <c r="G36" s="201" t="s">
        <v>3</v>
      </c>
      <c r="H36" s="148" t="s">
        <v>100</v>
      </c>
    </row>
    <row r="37" spans="1:1024" x14ac:dyDescent="0.3">
      <c r="A37" s="310" t="s">
        <v>106</v>
      </c>
      <c r="B37" s="202"/>
      <c r="C37" s="203">
        <f>D14/365/24</f>
        <v>11.384831050228309</v>
      </c>
      <c r="D37" s="202"/>
      <c r="E37" s="202"/>
      <c r="F37" s="202"/>
      <c r="G37" s="167"/>
    </row>
    <row r="38" spans="1:1024" x14ac:dyDescent="0.3">
      <c r="A38" s="305" t="s">
        <v>105</v>
      </c>
      <c r="B38" s="166">
        <v>0.15</v>
      </c>
      <c r="C38" s="150">
        <f>$C$37/3*2/B38</f>
        <v>50.599249112125818</v>
      </c>
      <c r="D38" s="204">
        <v>0.8</v>
      </c>
      <c r="E38" s="205">
        <f>C38*D38*1000</f>
        <v>40479.399289700661</v>
      </c>
      <c r="F38" s="205">
        <f>C38*1000*1000/G38/B68</f>
        <v>789072.11091034417</v>
      </c>
      <c r="G38" s="151">
        <v>90</v>
      </c>
      <c r="H38" s="206" t="s">
        <v>102</v>
      </c>
      <c r="J38" s="148" t="s">
        <v>103</v>
      </c>
    </row>
    <row r="39" spans="1:1024" x14ac:dyDescent="0.3">
      <c r="A39" s="311" t="s">
        <v>104</v>
      </c>
      <c r="B39" s="183">
        <v>0.27</v>
      </c>
      <c r="C39" s="157">
        <f>$C$37/3*1/B39</f>
        <v>14.055346975590503</v>
      </c>
      <c r="D39" s="207">
        <v>2.4</v>
      </c>
      <c r="E39" s="208">
        <f>C39*D39*1000</f>
        <v>33732.832741417202</v>
      </c>
      <c r="F39" s="208">
        <f>C39*1000*1000/G39/B68</f>
        <v>2465850.3465948249</v>
      </c>
      <c r="G39" s="167">
        <v>8</v>
      </c>
      <c r="H39" s="169" t="s">
        <v>101</v>
      </c>
      <c r="L39" s="169"/>
    </row>
    <row r="40" spans="1:1024" x14ac:dyDescent="0.3">
      <c r="A40" s="303" t="s">
        <v>107</v>
      </c>
      <c r="C40" s="209">
        <f>C38+C39</f>
        <v>64.654596087716328</v>
      </c>
      <c r="D40" s="210"/>
      <c r="E40" s="211">
        <f>E38+E39</f>
        <v>74212.232031117863</v>
      </c>
      <c r="G40" s="151"/>
    </row>
    <row r="41" spans="1:1024" s="12" customFormat="1" x14ac:dyDescent="0.3">
      <c r="A41" s="303" t="s">
        <v>108</v>
      </c>
      <c r="B41" s="212"/>
      <c r="C41" s="209">
        <f>C40/$B$68</f>
        <v>90.743292754689577</v>
      </c>
      <c r="D41" s="210"/>
      <c r="E41" s="213">
        <f>E40/B68</f>
        <v>104157.51864016542</v>
      </c>
      <c r="F41" s="206"/>
      <c r="G41" s="214"/>
      <c r="H41" s="206"/>
      <c r="I41" s="206"/>
      <c r="J41" s="206"/>
      <c r="K41" s="206"/>
      <c r="L41" s="206"/>
      <c r="M41" s="206"/>
      <c r="AMJ41"/>
    </row>
    <row r="42" spans="1:1024" x14ac:dyDescent="0.3">
      <c r="A42" s="305" t="s">
        <v>109</v>
      </c>
      <c r="B42" s="148"/>
      <c r="C42" s="215">
        <f>$D$16</f>
        <v>341.54493150684925</v>
      </c>
      <c r="D42" s="216">
        <f>F76</f>
        <v>228.16361131811217</v>
      </c>
      <c r="E42" s="215">
        <f>C42*D42</f>
        <v>77928.125</v>
      </c>
      <c r="G42" s="217"/>
    </row>
    <row r="43" spans="1:1024" s="12" customFormat="1" x14ac:dyDescent="0.3">
      <c r="A43" s="306" t="s">
        <v>110</v>
      </c>
      <c r="B43" s="184">
        <v>30</v>
      </c>
      <c r="C43" s="218"/>
      <c r="D43" s="219">
        <v>1600</v>
      </c>
      <c r="E43" s="219">
        <f>B43*D43</f>
        <v>48000</v>
      </c>
      <c r="F43" s="206"/>
      <c r="G43" s="217" t="s">
        <v>405</v>
      </c>
      <c r="H43" s="206"/>
      <c r="I43" s="206"/>
      <c r="J43" s="206"/>
      <c r="K43" s="206"/>
      <c r="L43" s="206"/>
      <c r="M43" s="206"/>
    </row>
    <row r="44" spans="1:1024" s="1" customFormat="1" ht="15" thickBot="1" x14ac:dyDescent="0.35">
      <c r="A44" s="135" t="s">
        <v>306</v>
      </c>
      <c r="B44" s="133"/>
      <c r="C44" s="220"/>
      <c r="D44" s="209"/>
      <c r="E44" s="221">
        <f>E41+E42+E43</f>
        <v>230085.64364016542</v>
      </c>
      <c r="F44" s="132"/>
      <c r="G44" s="161"/>
      <c r="H44" s="132"/>
      <c r="I44" s="132"/>
      <c r="J44" s="132"/>
      <c r="K44" s="132"/>
      <c r="L44" s="132"/>
      <c r="M44" s="132"/>
      <c r="AMJ44" s="12"/>
    </row>
    <row r="45" spans="1:1024" s="16" customFormat="1" ht="16.2" thickTop="1" x14ac:dyDescent="0.3">
      <c r="A45" s="155"/>
      <c r="B45" s="222"/>
      <c r="C45" s="155"/>
      <c r="D45" s="223"/>
      <c r="E45" s="224"/>
      <c r="F45" s="222"/>
      <c r="G45" s="225"/>
      <c r="H45" s="155"/>
      <c r="I45" s="155"/>
      <c r="J45" s="155"/>
      <c r="K45" s="155"/>
      <c r="L45" s="226"/>
      <c r="M45" s="226"/>
      <c r="AMJ45"/>
    </row>
    <row r="46" spans="1:1024" s="16" customFormat="1" ht="15.6" x14ac:dyDescent="0.3">
      <c r="A46" s="227"/>
      <c r="B46" s="222"/>
      <c r="C46" s="155"/>
      <c r="D46" s="223"/>
      <c r="E46" s="224"/>
      <c r="F46" s="155"/>
      <c r="G46" s="225"/>
      <c r="H46" s="155"/>
      <c r="I46" s="155"/>
      <c r="J46" s="155"/>
      <c r="K46" s="155"/>
      <c r="L46" s="226"/>
      <c r="M46" s="226"/>
      <c r="AMJ46"/>
    </row>
    <row r="47" spans="1:1024" ht="43.2" x14ac:dyDescent="0.3">
      <c r="A47" s="142" t="s">
        <v>307</v>
      </c>
      <c r="B47" s="200" t="s">
        <v>94</v>
      </c>
      <c r="C47" s="200" t="s">
        <v>95</v>
      </c>
      <c r="D47" s="200" t="s">
        <v>96</v>
      </c>
      <c r="E47" s="200" t="s">
        <v>97</v>
      </c>
      <c r="F47" s="200" t="s">
        <v>98</v>
      </c>
      <c r="G47" s="201" t="s">
        <v>3</v>
      </c>
      <c r="H47" s="148" t="s">
        <v>114</v>
      </c>
    </row>
    <row r="48" spans="1:1024" x14ac:dyDescent="0.3">
      <c r="A48" s="310" t="s">
        <v>106</v>
      </c>
      <c r="B48" s="202"/>
      <c r="C48" s="228">
        <f>C37*'GDP EU'!L36*1.15</f>
        <v>2.5989686317935741</v>
      </c>
      <c r="D48" s="202"/>
      <c r="E48" s="202"/>
      <c r="F48" s="202"/>
      <c r="G48" s="229" t="s">
        <v>123</v>
      </c>
    </row>
    <row r="49" spans="1:1024" x14ac:dyDescent="0.3">
      <c r="A49" s="305" t="s">
        <v>113</v>
      </c>
      <c r="B49" s="166">
        <v>0.15</v>
      </c>
      <c r="C49" s="150">
        <f>$C$48/3*1/B49</f>
        <v>5.775485848430165</v>
      </c>
      <c r="D49" s="204">
        <v>0.8</v>
      </c>
      <c r="E49" s="205">
        <f>C49*D49*1000</f>
        <v>4620.3886787441324</v>
      </c>
      <c r="F49" s="205">
        <f>C49*1000*1000/G49/B68</f>
        <v>90066.056115870029</v>
      </c>
      <c r="G49" s="151">
        <v>90</v>
      </c>
      <c r="H49" s="206" t="s">
        <v>0</v>
      </c>
    </row>
    <row r="50" spans="1:1024" x14ac:dyDescent="0.3">
      <c r="A50" s="311" t="s">
        <v>112</v>
      </c>
      <c r="B50" s="183">
        <v>0.27</v>
      </c>
      <c r="C50" s="157">
        <f>$C$48/3*2/B50</f>
        <v>6.4172064982557382</v>
      </c>
      <c r="D50" s="157">
        <v>2.4</v>
      </c>
      <c r="E50" s="208">
        <f>C50*D50*1000</f>
        <v>15401.295595813772</v>
      </c>
      <c r="F50" s="208">
        <f>C50*1000*1000/G50/B68</f>
        <v>1125825.7014483751</v>
      </c>
      <c r="G50" s="167">
        <v>8</v>
      </c>
      <c r="H50" s="169" t="s">
        <v>115</v>
      </c>
      <c r="L50" s="169"/>
    </row>
    <row r="51" spans="1:1024" x14ac:dyDescent="0.3">
      <c r="A51" s="303" t="s">
        <v>107</v>
      </c>
      <c r="C51" s="209">
        <f>C49+C50</f>
        <v>12.192692346685902</v>
      </c>
      <c r="D51" s="215"/>
      <c r="E51" s="230">
        <f>E49+E50</f>
        <v>20021.684274557905</v>
      </c>
      <c r="F51" s="205"/>
      <c r="G51" s="151"/>
    </row>
    <row r="52" spans="1:1024" s="12" customFormat="1" x14ac:dyDescent="0.3">
      <c r="A52" s="303" t="s">
        <v>108</v>
      </c>
      <c r="B52" s="212"/>
      <c r="C52" s="209">
        <f>C51/$B$68</f>
        <v>17.112550662015302</v>
      </c>
      <c r="D52" s="216"/>
      <c r="E52" s="230">
        <f>E51/$B$68</f>
        <v>28100.609508151443</v>
      </c>
      <c r="F52" s="205"/>
      <c r="G52" s="214"/>
      <c r="H52" s="206"/>
      <c r="I52" s="206"/>
      <c r="J52" s="206"/>
      <c r="K52" s="206"/>
      <c r="L52" s="206"/>
      <c r="M52" s="206"/>
      <c r="AMJ52"/>
    </row>
    <row r="53" spans="1:1024" s="12" customFormat="1" x14ac:dyDescent="0.3">
      <c r="A53" s="305" t="s">
        <v>109</v>
      </c>
      <c r="B53" s="212"/>
      <c r="C53" s="231"/>
      <c r="D53" s="209"/>
      <c r="E53" s="232">
        <f>F75*'GDP EU'!M36</f>
        <v>15469.306140848214</v>
      </c>
      <c r="F53" s="205"/>
      <c r="G53" s="217" t="s">
        <v>116</v>
      </c>
      <c r="H53" s="206"/>
      <c r="I53" s="206"/>
      <c r="J53" s="206"/>
      <c r="K53" s="206"/>
      <c r="L53" s="206"/>
      <c r="M53" s="206"/>
    </row>
    <row r="54" spans="1:1024" s="12" customFormat="1" x14ac:dyDescent="0.3">
      <c r="A54" s="310" t="s">
        <v>110</v>
      </c>
      <c r="B54" s="233">
        <v>30</v>
      </c>
      <c r="C54" s="234"/>
      <c r="D54" s="232">
        <f>D43*'GDP EU'!M36</f>
        <v>317.61177142857144</v>
      </c>
      <c r="E54" s="232">
        <f>B54*D54</f>
        <v>9528.3531428571441</v>
      </c>
      <c r="F54" s="235"/>
      <c r="G54" s="217" t="s">
        <v>111</v>
      </c>
      <c r="H54" s="206"/>
      <c r="I54" s="206"/>
      <c r="J54" s="206"/>
      <c r="K54" s="206"/>
      <c r="L54" s="206"/>
      <c r="M54" s="206"/>
    </row>
    <row r="55" spans="1:1024" s="12" customFormat="1" x14ac:dyDescent="0.3">
      <c r="A55" s="310" t="s">
        <v>117</v>
      </c>
      <c r="B55" s="233"/>
      <c r="C55" s="234"/>
      <c r="D55" s="232"/>
      <c r="E55" s="232">
        <f>'GDP EU'!L36*'Extra info.'!C33</f>
        <v>5955.2207142857142</v>
      </c>
      <c r="F55" s="230"/>
      <c r="G55" s="217"/>
      <c r="H55" s="206"/>
      <c r="I55" s="206"/>
      <c r="J55" s="206"/>
      <c r="K55" s="206"/>
      <c r="L55" s="206"/>
      <c r="M55" s="206"/>
    </row>
    <row r="56" spans="1:1024" s="16" customFormat="1" ht="16.2" thickBot="1" x14ac:dyDescent="0.35">
      <c r="A56" s="236" t="s">
        <v>118</v>
      </c>
      <c r="B56" s="237"/>
      <c r="C56" s="238"/>
      <c r="D56" s="239"/>
      <c r="E56" s="240">
        <f>E52+E53+E54+E55</f>
        <v>59053.489506142512</v>
      </c>
      <c r="F56" s="241"/>
      <c r="G56" s="242"/>
      <c r="H56" s="226"/>
      <c r="I56" s="226"/>
      <c r="J56" s="226"/>
      <c r="K56" s="226"/>
      <c r="L56" s="226"/>
      <c r="M56" s="226"/>
      <c r="AMJ56"/>
    </row>
    <row r="57" spans="1:1024" s="16" customFormat="1" ht="16.2" thickTop="1" x14ac:dyDescent="0.3">
      <c r="A57" s="243" t="s">
        <v>208</v>
      </c>
      <c r="B57" s="244"/>
      <c r="C57" s="245"/>
      <c r="D57" s="246"/>
      <c r="E57" s="216">
        <f>'GDP EU'!K36</f>
        <v>16674.617999999999</v>
      </c>
      <c r="F57" s="206"/>
      <c r="G57" s="242"/>
      <c r="H57" s="226"/>
      <c r="I57" s="226"/>
      <c r="J57" s="226"/>
      <c r="K57" s="226"/>
      <c r="L57" s="226"/>
      <c r="M57" s="226"/>
      <c r="AMJ57" s="12"/>
    </row>
    <row r="58" spans="1:1024" s="16" customFormat="1" ht="15.6" x14ac:dyDescent="0.3">
      <c r="A58" s="243"/>
      <c r="B58" s="244"/>
      <c r="C58" s="245"/>
      <c r="D58" s="246"/>
      <c r="E58" s="216"/>
      <c r="F58" s="206"/>
      <c r="G58" s="247"/>
      <c r="H58" s="226"/>
      <c r="I58" s="226"/>
      <c r="J58" s="226"/>
      <c r="K58" s="226"/>
      <c r="L58" s="226"/>
      <c r="M58" s="226"/>
      <c r="AMJ58" s="12"/>
    </row>
    <row r="59" spans="1:1024" s="16" customFormat="1" ht="15.6" x14ac:dyDescent="0.3">
      <c r="A59" s="243"/>
      <c r="B59" s="244"/>
      <c r="C59" s="245"/>
      <c r="D59" s="246"/>
      <c r="E59" s="216"/>
      <c r="F59" s="206"/>
      <c r="G59" s="247"/>
      <c r="H59" s="226"/>
      <c r="I59" s="226"/>
      <c r="J59" s="226"/>
      <c r="K59" s="226"/>
      <c r="L59" s="226"/>
      <c r="M59" s="226"/>
      <c r="AMJ59" s="12"/>
    </row>
    <row r="60" spans="1:1024" x14ac:dyDescent="0.3">
      <c r="A60" s="248"/>
      <c r="B60" s="169"/>
      <c r="C60" s="169"/>
      <c r="D60" s="249"/>
      <c r="E60" s="169"/>
      <c r="F60" s="230"/>
      <c r="G60" s="170"/>
      <c r="H60" s="169"/>
      <c r="I60" s="169"/>
      <c r="J60" s="169"/>
      <c r="K60" s="169"/>
      <c r="L60" s="169" t="s">
        <v>38</v>
      </c>
      <c r="M60" s="169"/>
    </row>
    <row r="61" spans="1:1024" ht="43.2" x14ac:dyDescent="0.3">
      <c r="A61" s="250" t="s">
        <v>184</v>
      </c>
      <c r="B61" s="200" t="s">
        <v>4</v>
      </c>
      <c r="C61" s="200" t="s">
        <v>203</v>
      </c>
      <c r="D61" s="251" t="s">
        <v>314</v>
      </c>
      <c r="E61" s="252" t="s">
        <v>206</v>
      </c>
      <c r="F61" s="253" t="s">
        <v>183</v>
      </c>
      <c r="G61" s="140"/>
      <c r="H61" s="140"/>
      <c r="I61" s="140"/>
      <c r="J61" s="140"/>
      <c r="K61" s="140"/>
      <c r="L61" s="141"/>
      <c r="M61" s="141"/>
    </row>
    <row r="62" spans="1:1024" x14ac:dyDescent="0.3">
      <c r="A62" s="305" t="s">
        <v>185</v>
      </c>
      <c r="B62" s="150">
        <v>0.6</v>
      </c>
      <c r="C62" s="148" t="s">
        <v>12</v>
      </c>
      <c r="D62" s="254">
        <v>0.25</v>
      </c>
      <c r="E62" s="255">
        <f>B62*D62</f>
        <v>0.15</v>
      </c>
      <c r="F62" s="168" t="s">
        <v>369</v>
      </c>
    </row>
    <row r="63" spans="1:1024" x14ac:dyDescent="0.3">
      <c r="A63" s="305" t="s">
        <v>186</v>
      </c>
      <c r="B63" s="150">
        <v>0.45</v>
      </c>
      <c r="C63" s="148" t="s">
        <v>364</v>
      </c>
      <c r="D63" s="254">
        <v>0.1</v>
      </c>
      <c r="E63" s="255">
        <f t="shared" ref="E63:E67" si="1">B63*D63</f>
        <v>4.5000000000000005E-2</v>
      </c>
      <c r="F63" s="168" t="s">
        <v>368</v>
      </c>
    </row>
    <row r="64" spans="1:1024" ht="15.6" customHeight="1" x14ac:dyDescent="0.3">
      <c r="A64" s="313" t="s">
        <v>187</v>
      </c>
      <c r="B64" s="150">
        <v>0.9</v>
      </c>
      <c r="C64" s="148" t="s">
        <v>204</v>
      </c>
      <c r="D64" s="254">
        <v>0.15</v>
      </c>
      <c r="E64" s="255">
        <f t="shared" si="1"/>
        <v>0.13500000000000001</v>
      </c>
      <c r="F64" s="168" t="s">
        <v>189</v>
      </c>
      <c r="G64" s="181"/>
    </row>
    <row r="65" spans="1:15" x14ac:dyDescent="0.3">
      <c r="A65" s="305" t="s">
        <v>188</v>
      </c>
      <c r="B65" s="150">
        <v>0.75</v>
      </c>
      <c r="C65" s="148" t="s">
        <v>205</v>
      </c>
      <c r="D65" s="254">
        <v>0.1</v>
      </c>
      <c r="E65" s="255">
        <f t="shared" si="1"/>
        <v>7.5000000000000011E-2</v>
      </c>
      <c r="F65" s="168" t="s">
        <v>190</v>
      </c>
      <c r="G65" s="181"/>
    </row>
    <row r="66" spans="1:15" x14ac:dyDescent="0.3">
      <c r="A66" s="305" t="s">
        <v>191</v>
      </c>
      <c r="B66" s="150">
        <v>0.8</v>
      </c>
      <c r="C66" s="148" t="s">
        <v>205</v>
      </c>
      <c r="D66" s="254">
        <v>0.15</v>
      </c>
      <c r="E66" s="255">
        <f t="shared" si="1"/>
        <v>0.12</v>
      </c>
      <c r="F66" s="256" t="s">
        <v>5</v>
      </c>
      <c r="G66" s="181"/>
    </row>
    <row r="67" spans="1:15" x14ac:dyDescent="0.3">
      <c r="A67" s="311" t="s">
        <v>181</v>
      </c>
      <c r="B67" s="157">
        <v>0.75</v>
      </c>
      <c r="C67" s="141" t="s">
        <v>365</v>
      </c>
      <c r="D67" s="257">
        <v>0.25</v>
      </c>
      <c r="E67" s="258">
        <f t="shared" si="1"/>
        <v>0.1875</v>
      </c>
      <c r="F67" s="259" t="s">
        <v>192</v>
      </c>
      <c r="G67" s="260"/>
      <c r="H67" s="141"/>
      <c r="I67" s="141"/>
      <c r="J67" s="141"/>
      <c r="K67" s="141"/>
      <c r="L67" s="141"/>
      <c r="M67" s="141"/>
    </row>
    <row r="68" spans="1:15" x14ac:dyDescent="0.3">
      <c r="A68" s="135" t="s">
        <v>182</v>
      </c>
      <c r="B68" s="209">
        <f>SUM(E62:E67)</f>
        <v>0.71250000000000002</v>
      </c>
      <c r="C68" s="181"/>
      <c r="D68" s="261"/>
      <c r="E68" s="262"/>
      <c r="F68" s="263" t="s">
        <v>366</v>
      </c>
    </row>
    <row r="69" spans="1:15" x14ac:dyDescent="0.3">
      <c r="A69" s="135"/>
      <c r="B69" s="133"/>
      <c r="C69" s="181"/>
      <c r="D69" s="186"/>
      <c r="E69" s="169"/>
    </row>
    <row r="70" spans="1:15" x14ac:dyDescent="0.3">
      <c r="A70" s="149"/>
      <c r="C70" s="181"/>
      <c r="D70" s="181"/>
      <c r="G70" s="365" t="s">
        <v>10</v>
      </c>
      <c r="H70" s="366"/>
      <c r="I70" s="141"/>
      <c r="J70" s="141"/>
      <c r="K70" s="141"/>
      <c r="L70" s="141"/>
      <c r="M70" s="141"/>
    </row>
    <row r="71" spans="1:15" s="4" customFormat="1" ht="43.2" x14ac:dyDescent="0.3">
      <c r="A71" s="250" t="s">
        <v>193</v>
      </c>
      <c r="B71" s="200" t="s">
        <v>312</v>
      </c>
      <c r="C71" s="264" t="s">
        <v>310</v>
      </c>
      <c r="D71" s="264" t="s">
        <v>311</v>
      </c>
      <c r="E71" s="200" t="s">
        <v>309</v>
      </c>
      <c r="F71" s="251" t="s">
        <v>313</v>
      </c>
      <c r="G71" s="361" t="s">
        <v>201</v>
      </c>
      <c r="H71" s="362"/>
      <c r="I71" s="362"/>
      <c r="J71" s="362"/>
      <c r="K71" s="362"/>
      <c r="L71" s="362"/>
      <c r="M71" s="362"/>
      <c r="N71" s="47"/>
    </row>
    <row r="72" spans="1:15" x14ac:dyDescent="0.3">
      <c r="A72" s="305" t="s">
        <v>194</v>
      </c>
      <c r="B72" s="215">
        <v>30</v>
      </c>
      <c r="C72" s="265">
        <v>274</v>
      </c>
      <c r="D72" s="265">
        <v>74</v>
      </c>
      <c r="E72" s="215">
        <v>250</v>
      </c>
      <c r="F72" s="266">
        <f>(E72/24*B72)*((C72+D72)/2)</f>
        <v>54375</v>
      </c>
      <c r="G72" s="267" t="s">
        <v>7</v>
      </c>
      <c r="H72" s="155"/>
      <c r="I72" s="155"/>
      <c r="J72" s="155"/>
      <c r="K72" s="155"/>
      <c r="L72" s="155"/>
      <c r="M72" s="155"/>
      <c r="N72" s="17"/>
    </row>
    <row r="73" spans="1:15" x14ac:dyDescent="0.3">
      <c r="A73" s="314" t="s">
        <v>195</v>
      </c>
      <c r="B73" s="268">
        <v>30</v>
      </c>
      <c r="C73" s="265">
        <v>260</v>
      </c>
      <c r="D73" s="265">
        <v>110</v>
      </c>
      <c r="E73" s="268">
        <v>250</v>
      </c>
      <c r="F73" s="266">
        <f>(E73/24*B73)*((C73+D73)/2)/4</f>
        <v>14453.125</v>
      </c>
      <c r="G73" s="155" t="s">
        <v>200</v>
      </c>
      <c r="H73" s="168"/>
      <c r="I73" s="155"/>
      <c r="J73" s="155"/>
      <c r="K73" s="155"/>
      <c r="L73" s="155"/>
      <c r="M73" s="155"/>
      <c r="N73" s="17"/>
      <c r="O73" s="21"/>
    </row>
    <row r="74" spans="1:15" x14ac:dyDescent="0.3">
      <c r="A74" s="311" t="s">
        <v>196</v>
      </c>
      <c r="B74" s="269">
        <v>30</v>
      </c>
      <c r="C74" s="270">
        <v>80</v>
      </c>
      <c r="D74" s="270">
        <v>80</v>
      </c>
      <c r="E74" s="269">
        <v>91</v>
      </c>
      <c r="F74" s="271">
        <f>(E74/24*B74)*((C74+D74)/2)</f>
        <v>9100</v>
      </c>
      <c r="G74" s="178" t="s">
        <v>14</v>
      </c>
      <c r="H74" s="168"/>
      <c r="I74" s="155"/>
      <c r="J74" s="155"/>
      <c r="K74" s="155"/>
      <c r="L74" s="155"/>
      <c r="M74" s="155"/>
      <c r="N74" s="17"/>
      <c r="O74" s="21"/>
    </row>
    <row r="75" spans="1:15" ht="16.2" thickBot="1" x14ac:dyDescent="0.35">
      <c r="A75" s="315" t="s">
        <v>197</v>
      </c>
      <c r="B75" s="215"/>
      <c r="C75" s="265"/>
      <c r="D75" s="265"/>
      <c r="E75" s="215">
        <v>341</v>
      </c>
      <c r="F75" s="273">
        <f>SUM(F72:F74)</f>
        <v>77928.125</v>
      </c>
      <c r="G75" s="155"/>
      <c r="H75" s="168"/>
      <c r="I75" s="155"/>
      <c r="J75" s="155"/>
      <c r="K75" s="155"/>
      <c r="L75" s="155"/>
      <c r="M75" s="155"/>
      <c r="N75" s="17"/>
    </row>
    <row r="76" spans="1:15" ht="15" thickTop="1" x14ac:dyDescent="0.3">
      <c r="A76" s="305" t="s">
        <v>198</v>
      </c>
      <c r="B76" s="215"/>
      <c r="C76" s="265"/>
      <c r="D76" s="265"/>
      <c r="E76" s="215"/>
      <c r="F76" s="274">
        <f>F75/D16</f>
        <v>228.16361131811217</v>
      </c>
      <c r="G76" s="155" t="s">
        <v>199</v>
      </c>
      <c r="H76" s="168"/>
      <c r="I76" s="155"/>
      <c r="J76" s="155"/>
      <c r="K76" s="155"/>
      <c r="L76" s="155"/>
      <c r="M76" s="155"/>
      <c r="N76" s="17"/>
    </row>
    <row r="77" spans="1:15" ht="15.6" x14ac:dyDescent="0.3">
      <c r="A77" s="149"/>
      <c r="B77" s="215"/>
      <c r="C77" s="265"/>
      <c r="D77" s="265"/>
      <c r="E77" s="215"/>
      <c r="F77" s="275"/>
      <c r="H77" s="169"/>
    </row>
    <row r="78" spans="1:15" s="4" customFormat="1" ht="16.2" thickBot="1" x14ac:dyDescent="0.35">
      <c r="A78" s="272" t="s">
        <v>202</v>
      </c>
      <c r="B78" s="276"/>
      <c r="C78" s="277"/>
      <c r="D78" s="277"/>
      <c r="E78" s="276"/>
      <c r="F78" s="278">
        <f>E44+'Extra info.'!C33</f>
        <v>260085.64364016542</v>
      </c>
      <c r="G78" s="206" t="s">
        <v>367</v>
      </c>
      <c r="H78" s="279"/>
      <c r="I78" s="280"/>
      <c r="J78" s="280"/>
      <c r="K78" s="280"/>
      <c r="L78" s="280"/>
      <c r="M78" s="280"/>
    </row>
    <row r="79" spans="1:15" ht="13.8" customHeight="1" thickTop="1" x14ac:dyDescent="0.3">
      <c r="A79" s="149"/>
      <c r="B79" s="215"/>
      <c r="C79" s="265"/>
      <c r="D79" s="265"/>
      <c r="E79" s="215"/>
      <c r="F79" s="276"/>
      <c r="H79" s="169"/>
    </row>
    <row r="80" spans="1:15" ht="12.6" customHeight="1" x14ac:dyDescent="0.3">
      <c r="C80" s="181"/>
      <c r="D80" s="181"/>
      <c r="H80" s="169"/>
    </row>
    <row r="81" spans="1:12" ht="15.6" x14ac:dyDescent="0.3">
      <c r="A81" s="281" t="s">
        <v>6</v>
      </c>
      <c r="C81" s="181"/>
      <c r="D81" s="282"/>
      <c r="H81" s="169"/>
    </row>
    <row r="82" spans="1:12" ht="76.2" customHeight="1" x14ac:dyDescent="0.3">
      <c r="A82" s="367" t="s">
        <v>119</v>
      </c>
      <c r="B82" s="367"/>
      <c r="C82" s="367"/>
      <c r="D82" s="367"/>
      <c r="E82" s="367"/>
      <c r="F82" s="367"/>
      <c r="G82" s="367"/>
      <c r="H82" s="367"/>
      <c r="I82" s="367"/>
      <c r="J82" s="367"/>
    </row>
    <row r="83" spans="1:12" ht="14.4" customHeight="1" x14ac:dyDescent="0.3">
      <c r="A83" s="378" t="s">
        <v>56</v>
      </c>
      <c r="B83" s="371"/>
      <c r="C83" s="371"/>
      <c r="D83" s="371"/>
      <c r="E83" s="371"/>
      <c r="F83" s="371"/>
      <c r="G83" s="371"/>
      <c r="H83" s="371"/>
      <c r="I83" s="371"/>
      <c r="J83" s="371"/>
    </row>
    <row r="84" spans="1:12" ht="14.4" customHeight="1" x14ac:dyDescent="0.3">
      <c r="A84" s="283"/>
      <c r="B84" s="284"/>
      <c r="C84" s="284"/>
      <c r="D84" s="284"/>
      <c r="E84" s="284"/>
      <c r="F84" s="284"/>
      <c r="G84" s="284"/>
      <c r="H84" s="284"/>
      <c r="I84" s="284"/>
      <c r="J84" s="284"/>
    </row>
    <row r="85" spans="1:12" ht="14.4" customHeight="1" x14ac:dyDescent="0.3">
      <c r="A85" s="283"/>
      <c r="B85" s="284"/>
      <c r="C85" s="284"/>
      <c r="D85" s="284"/>
      <c r="E85" s="284"/>
      <c r="F85" s="284"/>
      <c r="G85" s="284"/>
      <c r="H85" s="284"/>
      <c r="I85" s="284"/>
      <c r="J85" s="284"/>
    </row>
    <row r="86" spans="1:12" ht="13.2" customHeight="1" x14ac:dyDescent="0.3">
      <c r="A86" s="285" t="s">
        <v>308</v>
      </c>
      <c r="B86" s="248"/>
      <c r="C86" s="248"/>
      <c r="D86" s="248"/>
      <c r="E86" s="248"/>
      <c r="F86" s="248"/>
      <c r="G86" s="248"/>
      <c r="H86" s="169"/>
      <c r="I86" s="169"/>
      <c r="J86" s="169"/>
      <c r="L86" s="148" t="s">
        <v>39</v>
      </c>
    </row>
    <row r="87" spans="1:12" ht="44.4" customHeight="1" x14ac:dyDescent="0.3">
      <c r="A87" s="368" t="s">
        <v>120</v>
      </c>
      <c r="B87" s="369"/>
      <c r="C87" s="369"/>
      <c r="D87" s="369"/>
      <c r="E87" s="369"/>
      <c r="F87" s="369"/>
      <c r="G87" s="369"/>
      <c r="H87" s="370"/>
      <c r="I87" s="370"/>
      <c r="J87" s="370"/>
    </row>
    <row r="88" spans="1:12" ht="12" customHeight="1" x14ac:dyDescent="0.3">
      <c r="A88" s="169"/>
      <c r="B88" s="286"/>
      <c r="C88" s="181"/>
      <c r="D88" s="186"/>
      <c r="E88" s="286"/>
      <c r="F88" s="169"/>
      <c r="G88" s="169"/>
      <c r="H88" s="169"/>
      <c r="I88" s="169"/>
      <c r="J88" s="169"/>
    </row>
    <row r="89" spans="1:12" ht="45" customHeight="1" x14ac:dyDescent="0.3">
      <c r="A89" s="369" t="s">
        <v>121</v>
      </c>
      <c r="B89" s="369"/>
      <c r="C89" s="369"/>
      <c r="D89" s="369"/>
      <c r="E89" s="369"/>
      <c r="F89" s="369"/>
      <c r="G89" s="369"/>
      <c r="H89" s="370"/>
      <c r="I89" s="370"/>
      <c r="J89" s="370"/>
    </row>
    <row r="90" spans="1:12" ht="12.6" customHeight="1" x14ac:dyDescent="0.3">
      <c r="A90" s="248"/>
      <c r="B90" s="248"/>
      <c r="C90" s="248"/>
      <c r="D90" s="248"/>
      <c r="E90" s="248"/>
      <c r="F90" s="248"/>
      <c r="G90" s="248"/>
      <c r="H90" s="169"/>
      <c r="I90" s="169"/>
      <c r="J90" s="169"/>
    </row>
    <row r="91" spans="1:12" ht="44.4" customHeight="1" x14ac:dyDescent="0.3">
      <c r="A91" s="369" t="s">
        <v>122</v>
      </c>
      <c r="B91" s="369"/>
      <c r="C91" s="369"/>
      <c r="D91" s="369"/>
      <c r="E91" s="369"/>
      <c r="F91" s="369"/>
      <c r="G91" s="369"/>
      <c r="H91" s="370"/>
      <c r="I91" s="370"/>
      <c r="J91" s="370"/>
    </row>
    <row r="92" spans="1:12" ht="16.2" customHeight="1" x14ac:dyDescent="0.3">
      <c r="A92" s="233" t="s">
        <v>8</v>
      </c>
      <c r="B92" s="286"/>
      <c r="C92" s="169"/>
      <c r="D92" s="169"/>
      <c r="E92" s="286"/>
      <c r="F92" s="169"/>
      <c r="G92" s="169"/>
      <c r="H92" s="169"/>
      <c r="I92" s="169"/>
      <c r="J92" s="169"/>
    </row>
    <row r="93" spans="1:12" ht="28.8" customHeight="1" x14ac:dyDescent="0.3">
      <c r="A93" s="369" t="s">
        <v>126</v>
      </c>
      <c r="B93" s="369"/>
      <c r="C93" s="369"/>
      <c r="D93" s="369"/>
      <c r="E93" s="369"/>
      <c r="F93" s="369"/>
      <c r="G93" s="369"/>
      <c r="H93" s="370"/>
      <c r="I93" s="370"/>
      <c r="J93" s="370"/>
      <c r="K93" s="371"/>
    </row>
    <row r="94" spans="1:12" ht="13.2" customHeight="1" x14ac:dyDescent="0.3">
      <c r="A94" s="248"/>
      <c r="B94" s="248"/>
      <c r="C94" s="248"/>
      <c r="D94" s="248"/>
      <c r="E94" s="248"/>
      <c r="F94" s="248"/>
      <c r="G94" s="248"/>
      <c r="H94" s="169"/>
      <c r="I94" s="169"/>
      <c r="J94" s="169"/>
    </row>
    <row r="95" spans="1:12" ht="28.2" customHeight="1" x14ac:dyDescent="0.3">
      <c r="A95" s="369" t="s">
        <v>171</v>
      </c>
      <c r="B95" s="369"/>
      <c r="C95" s="369"/>
      <c r="D95" s="369"/>
      <c r="E95" s="369"/>
      <c r="F95" s="369"/>
      <c r="G95" s="369"/>
      <c r="H95" s="370"/>
      <c r="I95" s="370"/>
      <c r="J95" s="370"/>
    </row>
    <row r="96" spans="1:12" ht="15" customHeight="1" x14ac:dyDescent="0.3">
      <c r="A96" s="233" t="s">
        <v>9</v>
      </c>
      <c r="B96" s="286"/>
      <c r="C96" s="169"/>
      <c r="D96" s="169"/>
      <c r="E96" s="286"/>
      <c r="F96" s="169"/>
      <c r="G96" s="169"/>
      <c r="H96" s="169"/>
      <c r="I96" s="169"/>
      <c r="J96" s="169"/>
    </row>
    <row r="97" spans="1:13" ht="42.6" customHeight="1" x14ac:dyDescent="0.3">
      <c r="A97" s="372" t="s">
        <v>316</v>
      </c>
      <c r="B97" s="372"/>
      <c r="C97" s="372"/>
      <c r="D97" s="372"/>
      <c r="E97" s="372"/>
      <c r="F97" s="372"/>
      <c r="G97" s="372"/>
      <c r="H97" s="373"/>
      <c r="I97" s="373"/>
      <c r="J97" s="373"/>
      <c r="K97" s="373"/>
      <c r="L97" s="373"/>
    </row>
    <row r="98" spans="1:13" ht="13.8" customHeight="1" x14ac:dyDescent="0.3">
      <c r="A98" s="377" t="s">
        <v>7</v>
      </c>
      <c r="B98" s="371"/>
      <c r="C98" s="371"/>
      <c r="D98" s="371"/>
      <c r="E98" s="371"/>
      <c r="F98" s="371"/>
      <c r="G98" s="371"/>
      <c r="H98" s="371"/>
      <c r="I98" s="371"/>
      <c r="J98" s="371"/>
    </row>
    <row r="99" spans="1:13" ht="12.6" customHeight="1" x14ac:dyDescent="0.3">
      <c r="A99" s="169"/>
      <c r="B99" s="286"/>
      <c r="C99" s="169"/>
      <c r="D99" s="169"/>
      <c r="E99" s="286"/>
      <c r="F99" s="169"/>
      <c r="G99" s="169"/>
      <c r="H99" s="169"/>
      <c r="I99" s="169"/>
      <c r="J99" s="169"/>
    </row>
    <row r="100" spans="1:13" ht="60" customHeight="1" x14ac:dyDescent="0.3">
      <c r="A100" s="368" t="s">
        <v>124</v>
      </c>
      <c r="B100" s="369"/>
      <c r="C100" s="369"/>
      <c r="D100" s="369"/>
      <c r="E100" s="369"/>
      <c r="F100" s="369"/>
      <c r="G100" s="369"/>
      <c r="H100" s="370"/>
      <c r="I100" s="370"/>
      <c r="J100" s="370"/>
    </row>
    <row r="101" spans="1:13" ht="14.4" customHeight="1" x14ac:dyDescent="0.3">
      <c r="A101" s="375" t="s">
        <v>47</v>
      </c>
      <c r="B101" s="376"/>
      <c r="C101" s="376"/>
      <c r="D101" s="376"/>
      <c r="E101" s="376"/>
      <c r="F101" s="376"/>
      <c r="G101" s="376"/>
      <c r="H101" s="376"/>
      <c r="I101" s="376"/>
      <c r="J101" s="376"/>
    </row>
    <row r="102" spans="1:13" ht="13.2" customHeight="1" x14ac:dyDescent="0.3"/>
    <row r="103" spans="1:13" ht="15.6" customHeight="1" x14ac:dyDescent="0.3">
      <c r="A103" s="379" t="s">
        <v>125</v>
      </c>
      <c r="B103" s="379"/>
      <c r="C103" s="379"/>
      <c r="D103" s="379"/>
      <c r="E103" s="379"/>
      <c r="F103" s="379"/>
      <c r="G103" s="379"/>
      <c r="H103" s="379"/>
      <c r="I103" s="379"/>
      <c r="J103" s="379"/>
    </row>
    <row r="104" spans="1:13" ht="15.6" customHeight="1" x14ac:dyDescent="0.3"/>
    <row r="105" spans="1:13" ht="15.6" customHeight="1" x14ac:dyDescent="0.3"/>
    <row r="106" spans="1:13" ht="15" customHeight="1" x14ac:dyDescent="0.3"/>
    <row r="107" spans="1:13" x14ac:dyDescent="0.3">
      <c r="A107" s="169"/>
      <c r="B107" s="286"/>
      <c r="C107" s="169"/>
      <c r="D107" s="169"/>
      <c r="E107" s="286"/>
      <c r="F107" s="169"/>
      <c r="G107" s="169"/>
      <c r="H107" s="169"/>
      <c r="I107" s="169"/>
      <c r="J107" s="169"/>
      <c r="K107" s="169"/>
      <c r="L107" s="169"/>
      <c r="M107" s="169"/>
    </row>
    <row r="108" spans="1:13" x14ac:dyDescent="0.3">
      <c r="A108" s="287"/>
      <c r="B108" s="288"/>
      <c r="C108" s="287"/>
      <c r="D108" s="287"/>
      <c r="E108" s="288"/>
      <c r="F108" s="287"/>
      <c r="G108" s="287"/>
      <c r="H108" s="287"/>
      <c r="I108" s="287"/>
      <c r="J108" s="289"/>
      <c r="K108" s="287"/>
      <c r="L108" s="289" t="s">
        <v>41</v>
      </c>
      <c r="M108" s="287"/>
    </row>
    <row r="109" spans="1:13" ht="43.8" x14ac:dyDescent="0.35">
      <c r="A109" s="290" t="s">
        <v>172</v>
      </c>
      <c r="B109" s="291" t="s">
        <v>173</v>
      </c>
      <c r="C109" s="291" t="s">
        <v>174</v>
      </c>
      <c r="D109" s="291" t="s">
        <v>175</v>
      </c>
      <c r="E109" s="291" t="s">
        <v>176</v>
      </c>
      <c r="F109" s="291" t="s">
        <v>177</v>
      </c>
      <c r="G109" s="292" t="s">
        <v>178</v>
      </c>
      <c r="H109" s="141"/>
    </row>
    <row r="110" spans="1:13" x14ac:dyDescent="0.3">
      <c r="A110" s="309" t="s">
        <v>179</v>
      </c>
      <c r="B110" s="293">
        <v>1600</v>
      </c>
      <c r="C110" s="293">
        <v>0.78</v>
      </c>
      <c r="D110" s="294">
        <v>12000</v>
      </c>
      <c r="E110" s="166">
        <v>1000</v>
      </c>
      <c r="F110" s="294">
        <f>D110/C110+E110</f>
        <v>16384.615384615383</v>
      </c>
      <c r="G110" s="295">
        <f>F110</f>
        <v>16384.615384615383</v>
      </c>
      <c r="H110" s="169" t="s">
        <v>25</v>
      </c>
    </row>
    <row r="111" spans="1:13" x14ac:dyDescent="0.3">
      <c r="A111" s="309" t="s">
        <v>180</v>
      </c>
      <c r="B111" s="293">
        <v>8</v>
      </c>
      <c r="C111" s="293">
        <v>0.33</v>
      </c>
      <c r="D111" s="294">
        <f>D39*B110</f>
        <v>3840</v>
      </c>
      <c r="E111" s="166">
        <v>0</v>
      </c>
      <c r="F111" s="294">
        <f>D111/C111</f>
        <v>11636.363636363636</v>
      </c>
      <c r="G111" s="296"/>
      <c r="H111" s="169"/>
    </row>
    <row r="112" spans="1:13" x14ac:dyDescent="0.3">
      <c r="A112" s="309" t="s">
        <v>216</v>
      </c>
      <c r="B112" s="293">
        <f>B110*24*1.1</f>
        <v>42240</v>
      </c>
      <c r="C112" s="293"/>
      <c r="D112" s="294">
        <f>F76*B112/1000</f>
        <v>9637.6309420770576</v>
      </c>
      <c r="F112" s="293"/>
      <c r="G112" s="295">
        <f>F111+D112</f>
        <v>21273.994578440695</v>
      </c>
      <c r="H112" s="169" t="s">
        <v>25</v>
      </c>
    </row>
    <row r="113" spans="1:13" x14ac:dyDescent="0.3">
      <c r="A113" s="309" t="s">
        <v>217</v>
      </c>
      <c r="B113" s="293">
        <f>B110*24*1.25</f>
        <v>48000</v>
      </c>
      <c r="C113" s="293"/>
      <c r="D113" s="294">
        <f>D74*B113/1000</f>
        <v>3840</v>
      </c>
      <c r="E113" s="293"/>
      <c r="F113" s="293"/>
      <c r="G113" s="295">
        <f>F111+D113</f>
        <v>15476.363636363636</v>
      </c>
      <c r="H113" s="169" t="s">
        <v>25</v>
      </c>
    </row>
    <row r="114" spans="1:13" x14ac:dyDescent="0.3">
      <c r="A114" s="309"/>
      <c r="C114" s="166"/>
    </row>
    <row r="115" spans="1:13" ht="31.2" x14ac:dyDescent="0.3">
      <c r="A115" s="312" t="s">
        <v>218</v>
      </c>
      <c r="B115" s="200" t="s">
        <v>174</v>
      </c>
      <c r="C115" s="200" t="s">
        <v>219</v>
      </c>
      <c r="D115" s="200" t="s">
        <v>220</v>
      </c>
      <c r="E115" s="200"/>
      <c r="F115" s="200"/>
      <c r="G115" s="292"/>
      <c r="H115" s="142"/>
    </row>
    <row r="116" spans="1:13" x14ac:dyDescent="0.3">
      <c r="A116" s="309" t="s">
        <v>221</v>
      </c>
      <c r="B116" s="166">
        <v>0.78</v>
      </c>
      <c r="C116" s="215">
        <f>100*24*365*B116</f>
        <v>683280</v>
      </c>
      <c r="D116" s="297">
        <f>D14*1000000/C116</f>
        <v>145959.3724388245</v>
      </c>
      <c r="E116" s="215"/>
      <c r="F116" s="298"/>
      <c r="G116" s="151" t="s">
        <v>45</v>
      </c>
    </row>
    <row r="117" spans="1:13" x14ac:dyDescent="0.3">
      <c r="A117" s="309"/>
      <c r="C117" s="215"/>
      <c r="D117" s="298"/>
      <c r="E117" s="215"/>
      <c r="F117" s="298"/>
      <c r="G117" s="151"/>
    </row>
    <row r="118" spans="1:13" x14ac:dyDescent="0.3">
      <c r="A118" s="309"/>
      <c r="C118" s="166"/>
      <c r="E118" s="148"/>
    </row>
    <row r="119" spans="1:13" x14ac:dyDescent="0.3">
      <c r="A119" s="316" t="s">
        <v>6</v>
      </c>
      <c r="C119" s="166"/>
      <c r="E119" s="148"/>
    </row>
    <row r="120" spans="1:13" ht="75.599999999999994" customHeight="1" x14ac:dyDescent="0.3">
      <c r="A120" s="380" t="s">
        <v>222</v>
      </c>
      <c r="B120" s="380"/>
      <c r="C120" s="380"/>
      <c r="D120" s="380"/>
      <c r="E120" s="380"/>
      <c r="F120" s="380"/>
      <c r="G120" s="380"/>
      <c r="H120" s="379"/>
      <c r="I120" s="371"/>
      <c r="J120" s="371"/>
      <c r="K120" s="371"/>
    </row>
    <row r="121" spans="1:13" ht="44.4" customHeight="1" x14ac:dyDescent="0.3">
      <c r="A121" s="369" t="s">
        <v>223</v>
      </c>
      <c r="B121" s="369"/>
      <c r="C121" s="369"/>
      <c r="D121" s="369"/>
      <c r="E121" s="369"/>
      <c r="F121" s="369"/>
      <c r="G121" s="369"/>
      <c r="H121" s="379"/>
      <c r="I121" s="371"/>
      <c r="J121" s="371"/>
      <c r="K121" s="371"/>
    </row>
    <row r="122" spans="1:13" ht="60.6" customHeight="1" x14ac:dyDescent="0.3">
      <c r="A122" s="369" t="s">
        <v>225</v>
      </c>
      <c r="B122" s="369"/>
      <c r="C122" s="369"/>
      <c r="D122" s="369"/>
      <c r="E122" s="369"/>
      <c r="F122" s="369"/>
      <c r="G122" s="369"/>
      <c r="H122" s="379"/>
      <c r="I122" s="371"/>
      <c r="J122" s="371"/>
      <c r="K122" s="371"/>
    </row>
    <row r="123" spans="1:13" ht="30.6" customHeight="1" x14ac:dyDescent="0.3">
      <c r="A123" s="369" t="s">
        <v>224</v>
      </c>
      <c r="B123" s="369"/>
      <c r="C123" s="369"/>
      <c r="D123" s="369"/>
      <c r="E123" s="369"/>
      <c r="F123" s="369"/>
      <c r="G123" s="369"/>
      <c r="H123" s="379"/>
      <c r="I123" s="371"/>
      <c r="J123" s="371"/>
      <c r="K123" s="371"/>
    </row>
    <row r="124" spans="1:13" ht="45.6" customHeight="1" x14ac:dyDescent="0.3">
      <c r="A124" s="369" t="s">
        <v>226</v>
      </c>
      <c r="B124" s="371"/>
      <c r="C124" s="371"/>
      <c r="D124" s="371"/>
      <c r="E124" s="371"/>
      <c r="F124" s="371"/>
      <c r="G124" s="371"/>
      <c r="H124" s="371"/>
      <c r="I124" s="371"/>
      <c r="J124" s="371"/>
      <c r="K124" s="371"/>
    </row>
    <row r="125" spans="1:13" ht="16.8" customHeight="1" x14ac:dyDescent="0.3">
      <c r="A125" s="248"/>
      <c r="B125" s="284"/>
      <c r="C125" s="284"/>
      <c r="D125" s="284"/>
      <c r="E125" s="284"/>
      <c r="F125" s="284"/>
      <c r="G125" s="284"/>
      <c r="H125" s="284"/>
      <c r="I125" s="284"/>
      <c r="J125" s="284"/>
      <c r="K125" s="284"/>
    </row>
    <row r="126" spans="1:13" x14ac:dyDescent="0.3">
      <c r="A126" s="248"/>
      <c r="B126" s="248"/>
      <c r="C126" s="248"/>
      <c r="D126" s="248"/>
      <c r="E126" s="248"/>
      <c r="F126" s="248"/>
      <c r="G126" s="248"/>
    </row>
    <row r="127" spans="1:13" x14ac:dyDescent="0.3">
      <c r="A127" s="287"/>
      <c r="B127" s="288"/>
      <c r="C127" s="287"/>
      <c r="D127" s="287"/>
      <c r="E127" s="288"/>
      <c r="F127" s="287"/>
      <c r="G127" s="287"/>
      <c r="H127" s="287"/>
      <c r="I127" s="287"/>
      <c r="J127" s="287"/>
      <c r="K127" s="287"/>
      <c r="L127" s="287" t="s">
        <v>40</v>
      </c>
      <c r="M127" s="287"/>
    </row>
    <row r="128" spans="1:13" ht="36" x14ac:dyDescent="0.35">
      <c r="A128" s="290" t="s">
        <v>315</v>
      </c>
      <c r="B128" s="200" t="s">
        <v>227</v>
      </c>
      <c r="C128" s="200" t="s">
        <v>228</v>
      </c>
      <c r="D128" s="200" t="s">
        <v>303</v>
      </c>
      <c r="E128" s="142"/>
      <c r="F128" s="142"/>
      <c r="G128" s="145"/>
      <c r="H128" s="149"/>
    </row>
    <row r="129" spans="1:10" x14ac:dyDescent="0.3">
      <c r="A129" s="148" t="s">
        <v>229</v>
      </c>
      <c r="B129" s="166">
        <v>400</v>
      </c>
      <c r="C129" s="215">
        <f>B129*278/1000</f>
        <v>111.2</v>
      </c>
      <c r="D129" s="166">
        <f>C129*1000/B129</f>
        <v>278</v>
      </c>
      <c r="E129" s="148"/>
      <c r="G129" s="299"/>
    </row>
    <row r="130" spans="1:10" x14ac:dyDescent="0.3">
      <c r="A130" s="148" t="s">
        <v>230</v>
      </c>
      <c r="B130" s="166">
        <v>180000</v>
      </c>
      <c r="C130" s="297">
        <f>C129/B129*B130</f>
        <v>50040.000000000007</v>
      </c>
      <c r="E130" s="148"/>
      <c r="G130" s="299"/>
      <c r="H130" s="284"/>
    </row>
    <row r="131" spans="1:10" x14ac:dyDescent="0.3">
      <c r="A131" s="141" t="s">
        <v>231</v>
      </c>
      <c r="B131" s="183"/>
      <c r="C131" s="183">
        <v>2500</v>
      </c>
      <c r="D131" s="141"/>
      <c r="E131" s="141"/>
      <c r="F131" s="141"/>
      <c r="G131" s="300"/>
      <c r="H131" s="167"/>
      <c r="I131" s="169"/>
      <c r="J131" s="169"/>
    </row>
    <row r="132" spans="1:10" x14ac:dyDescent="0.3">
      <c r="C132" s="166"/>
      <c r="E132" s="148"/>
      <c r="H132" s="149"/>
    </row>
    <row r="133" spans="1:10" x14ac:dyDescent="0.3">
      <c r="C133" s="166"/>
      <c r="E133" s="148"/>
    </row>
    <row r="134" spans="1:10" ht="56.4" customHeight="1" x14ac:dyDescent="0.3">
      <c r="A134" s="379" t="s">
        <v>232</v>
      </c>
      <c r="B134" s="371"/>
      <c r="C134" s="371"/>
      <c r="D134" s="371"/>
      <c r="E134" s="371"/>
      <c r="F134" s="371"/>
      <c r="G134" s="371"/>
      <c r="H134" s="371"/>
      <c r="I134" s="371"/>
      <c r="J134" s="371"/>
    </row>
    <row r="135" spans="1:10" x14ac:dyDescent="0.3">
      <c r="C135" s="166"/>
      <c r="E135" s="148"/>
    </row>
    <row r="136" spans="1:10" ht="57.6" customHeight="1" x14ac:dyDescent="0.3">
      <c r="A136" s="379" t="s">
        <v>304</v>
      </c>
      <c r="B136" s="371"/>
      <c r="C136" s="371"/>
      <c r="D136" s="371"/>
      <c r="E136" s="371"/>
      <c r="F136" s="371"/>
      <c r="G136" s="371"/>
      <c r="H136" s="371"/>
      <c r="I136" s="371"/>
      <c r="J136" s="371"/>
    </row>
    <row r="137" spans="1:10" x14ac:dyDescent="0.3">
      <c r="C137" s="166"/>
      <c r="E137" s="148"/>
    </row>
    <row r="138" spans="1:10" ht="29.4" customHeight="1" x14ac:dyDescent="0.3">
      <c r="A138" s="379" t="s">
        <v>233</v>
      </c>
      <c r="B138" s="371"/>
      <c r="C138" s="371"/>
      <c r="D138" s="371"/>
      <c r="E138" s="371"/>
      <c r="F138" s="371"/>
      <c r="G138" s="371"/>
      <c r="H138" s="371"/>
      <c r="I138" s="371"/>
      <c r="J138" s="371"/>
    </row>
    <row r="139" spans="1:10" x14ac:dyDescent="0.3">
      <c r="A139" s="374" t="s">
        <v>46</v>
      </c>
      <c r="B139" s="371"/>
      <c r="C139" s="371"/>
      <c r="D139" s="371"/>
      <c r="E139" s="371"/>
      <c r="F139" s="371"/>
      <c r="G139" s="371"/>
      <c r="H139" s="371"/>
      <c r="I139" s="371"/>
      <c r="J139" s="371"/>
    </row>
  </sheetData>
  <sheetProtection password="CCC4" sheet="1" objects="1" scenarios="1" insertRows="0" insertHyperlinks="0"/>
  <mergeCells count="27">
    <mergeCell ref="A139:J139"/>
    <mergeCell ref="A101:J101"/>
    <mergeCell ref="A98:J98"/>
    <mergeCell ref="A83:J83"/>
    <mergeCell ref="A134:J134"/>
    <mergeCell ref="A136:J136"/>
    <mergeCell ref="A138:J138"/>
    <mergeCell ref="A124:K124"/>
    <mergeCell ref="A103:J103"/>
    <mergeCell ref="A122:K122"/>
    <mergeCell ref="A121:K121"/>
    <mergeCell ref="A120:K120"/>
    <mergeCell ref="A123:K123"/>
    <mergeCell ref="A91:J91"/>
    <mergeCell ref="A95:J95"/>
    <mergeCell ref="A100:J100"/>
    <mergeCell ref="A82:J82"/>
    <mergeCell ref="A87:J87"/>
    <mergeCell ref="A89:J89"/>
    <mergeCell ref="A93:K93"/>
    <mergeCell ref="A97:L97"/>
    <mergeCell ref="A1:M1"/>
    <mergeCell ref="A3:M3"/>
    <mergeCell ref="C5:D5"/>
    <mergeCell ref="G71:M71"/>
    <mergeCell ref="F32:L33"/>
    <mergeCell ref="G70:H70"/>
  </mergeCells>
  <hyperlinks>
    <hyperlink ref="F21" r:id="rId1"/>
    <hyperlink ref="F31" r:id="rId2"/>
    <hyperlink ref="G72" r:id="rId3"/>
    <hyperlink ref="G74" r:id="rId4"/>
    <hyperlink ref="F8" r:id="rId5"/>
    <hyperlink ref="F7" r:id="rId6"/>
    <hyperlink ref="F66" r:id="rId7"/>
    <hyperlink ref="F14" r:id="rId8"/>
    <hyperlink ref="A139" r:id="rId9"/>
    <hyperlink ref="A101" r:id="rId10"/>
    <hyperlink ref="A98" r:id="rId11"/>
    <hyperlink ref="F20" r:id="rId12"/>
    <hyperlink ref="A83" r:id="rId13"/>
  </hyperlinks>
  <pageMargins left="0.25" right="0.25" top="0.75" bottom="0.75" header="0.3" footer="0.3"/>
  <pageSetup paperSize="9" scale="95" firstPageNumber="0" fitToHeight="0" orientation="landscape" horizontalDpi="300" verticalDpi="300" r:id="rId14"/>
  <ignoredErrors>
    <ignoredError sqref="F72"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36"/>
  <sheetViews>
    <sheetView tabSelected="1" topLeftCell="A109" workbookViewId="0">
      <selection activeCell="A137" sqref="A137"/>
    </sheetView>
  </sheetViews>
  <sheetFormatPr baseColWidth="10" defaultRowHeight="14.4" x14ac:dyDescent="0.3"/>
  <cols>
    <col min="1" max="1" width="34.6640625" customWidth="1"/>
    <col min="2" max="2" width="13.21875" style="15" customWidth="1"/>
    <col min="3" max="3" width="11.77734375" style="15" customWidth="1"/>
    <col min="4" max="4" width="13.109375" customWidth="1"/>
  </cols>
  <sheetData>
    <row r="2" spans="1:8" s="16" customFormat="1" ht="15.6" x14ac:dyDescent="0.3">
      <c r="A2" s="77" t="s">
        <v>234</v>
      </c>
      <c r="B2" s="98" t="s">
        <v>13</v>
      </c>
      <c r="C2" s="99"/>
      <c r="D2" s="36"/>
      <c r="E2" s="36"/>
      <c r="F2" s="36"/>
    </row>
    <row r="3" spans="1:8" x14ac:dyDescent="0.3">
      <c r="A3" s="1" t="s">
        <v>235</v>
      </c>
      <c r="B3" s="46" t="s">
        <v>236</v>
      </c>
      <c r="C3" s="5"/>
      <c r="E3" t="s">
        <v>26</v>
      </c>
    </row>
    <row r="4" spans="1:8" x14ac:dyDescent="0.3">
      <c r="A4" t="s">
        <v>237</v>
      </c>
      <c r="B4" s="15">
        <v>17</v>
      </c>
    </row>
    <row r="5" spans="1:8" x14ac:dyDescent="0.3">
      <c r="A5" t="s">
        <v>238</v>
      </c>
      <c r="B5" s="15">
        <v>12</v>
      </c>
    </row>
    <row r="6" spans="1:8" x14ac:dyDescent="0.3">
      <c r="A6" t="s">
        <v>239</v>
      </c>
      <c r="B6" s="15">
        <v>2</v>
      </c>
    </row>
    <row r="7" spans="1:8" x14ac:dyDescent="0.3">
      <c r="A7" t="s">
        <v>240</v>
      </c>
      <c r="B7" s="15">
        <v>2</v>
      </c>
    </row>
    <row r="8" spans="1:8" x14ac:dyDescent="0.3">
      <c r="A8" t="s">
        <v>241</v>
      </c>
      <c r="B8" s="15">
        <v>8</v>
      </c>
    </row>
    <row r="9" spans="1:8" x14ac:dyDescent="0.3">
      <c r="A9" t="s">
        <v>242</v>
      </c>
      <c r="B9" s="15">
        <v>6</v>
      </c>
    </row>
    <row r="10" spans="1:8" x14ac:dyDescent="0.3">
      <c r="A10" t="s">
        <v>243</v>
      </c>
      <c r="B10" s="15">
        <v>3</v>
      </c>
    </row>
    <row r="12" spans="1:8" x14ac:dyDescent="0.3">
      <c r="A12" s="1" t="s">
        <v>244</v>
      </c>
    </row>
    <row r="13" spans="1:8" x14ac:dyDescent="0.3">
      <c r="A13" t="s">
        <v>245</v>
      </c>
      <c r="B13" s="15">
        <v>25</v>
      </c>
    </row>
    <row r="14" spans="1:8" x14ac:dyDescent="0.3">
      <c r="A14" t="s">
        <v>246</v>
      </c>
      <c r="B14" s="15">
        <v>12</v>
      </c>
    </row>
    <row r="15" spans="1:8" x14ac:dyDescent="0.3">
      <c r="A15" t="s">
        <v>247</v>
      </c>
      <c r="B15" s="15">
        <v>7</v>
      </c>
    </row>
    <row r="16" spans="1:8" x14ac:dyDescent="0.3">
      <c r="A16" s="7" t="s">
        <v>248</v>
      </c>
      <c r="B16" s="9">
        <v>7</v>
      </c>
      <c r="C16" s="9"/>
      <c r="D16" s="7"/>
      <c r="E16" s="7"/>
      <c r="F16" s="7"/>
      <c r="G16" s="7"/>
      <c r="H16" s="7"/>
    </row>
    <row r="19" spans="1:12 1025:1025" ht="15.6" x14ac:dyDescent="0.3">
      <c r="A19" s="4" t="s">
        <v>249</v>
      </c>
    </row>
    <row r="20" spans="1:12 1025:1025" s="1" customFormat="1" ht="28.2" customHeight="1" x14ac:dyDescent="0.3">
      <c r="A20" s="6" t="s">
        <v>250</v>
      </c>
      <c r="B20" s="23" t="s">
        <v>17</v>
      </c>
      <c r="C20" s="23" t="s">
        <v>22</v>
      </c>
      <c r="D20" s="23" t="s">
        <v>23</v>
      </c>
      <c r="E20" s="23" t="s">
        <v>19</v>
      </c>
      <c r="F20" s="23" t="s">
        <v>24</v>
      </c>
      <c r="G20" s="23" t="s">
        <v>18</v>
      </c>
      <c r="H20" s="23" t="s">
        <v>20</v>
      </c>
      <c r="I20" s="20"/>
    </row>
    <row r="21" spans="1:12 1025:1025" s="1" customFormat="1" ht="13.8" customHeight="1" x14ac:dyDescent="0.3">
      <c r="A21" s="12" t="s">
        <v>251</v>
      </c>
      <c r="B21" s="10" t="s">
        <v>21</v>
      </c>
      <c r="C21" s="5"/>
      <c r="D21" s="5"/>
      <c r="E21" s="10"/>
      <c r="F21" s="10"/>
      <c r="G21" s="10"/>
      <c r="H21" s="10"/>
      <c r="I21" s="20"/>
    </row>
    <row r="22" spans="1:12 1025:1025" s="1" customFormat="1" ht="13.8" customHeight="1" x14ac:dyDescent="0.3">
      <c r="A22" s="35" t="s">
        <v>252</v>
      </c>
      <c r="B22" s="15">
        <v>50</v>
      </c>
      <c r="C22" s="15">
        <v>5</v>
      </c>
      <c r="D22" s="15">
        <v>2.5</v>
      </c>
      <c r="E22" s="10">
        <v>600</v>
      </c>
      <c r="F22" s="10">
        <v>300</v>
      </c>
      <c r="G22" s="10">
        <v>4000</v>
      </c>
      <c r="H22" s="10">
        <v>15</v>
      </c>
      <c r="I22" s="20" t="s">
        <v>255</v>
      </c>
    </row>
    <row r="23" spans="1:12 1025:1025" s="1" customFormat="1" ht="13.8" customHeight="1" x14ac:dyDescent="0.3">
      <c r="A23" s="35" t="s">
        <v>253</v>
      </c>
      <c r="B23" s="10"/>
      <c r="C23" s="10"/>
      <c r="D23" s="5"/>
      <c r="E23" s="10">
        <v>1200</v>
      </c>
      <c r="F23" s="10">
        <v>250</v>
      </c>
      <c r="G23" s="10"/>
      <c r="H23" s="10">
        <v>10</v>
      </c>
      <c r="I23" s="20" t="s">
        <v>254</v>
      </c>
    </row>
    <row r="24" spans="1:12 1025:1025" s="1" customFormat="1" ht="13.8" customHeight="1" x14ac:dyDescent="0.3">
      <c r="A24" s="35"/>
      <c r="B24" s="10"/>
      <c r="C24" s="10"/>
      <c r="D24" s="5"/>
      <c r="E24" s="10"/>
      <c r="F24" s="10"/>
      <c r="G24" s="10"/>
      <c r="H24" s="10"/>
      <c r="I24" s="61"/>
    </row>
    <row r="25" spans="1:12 1025:1025" s="1" customFormat="1" ht="13.8" customHeight="1" x14ac:dyDescent="0.3">
      <c r="A25" s="55" t="s">
        <v>256</v>
      </c>
      <c r="B25" s="56"/>
      <c r="C25" s="56"/>
      <c r="D25" s="8"/>
      <c r="E25" s="100"/>
      <c r="F25" s="56"/>
      <c r="G25" s="56"/>
      <c r="H25" s="57"/>
      <c r="I25" s="62"/>
      <c r="J25" s="6"/>
    </row>
    <row r="26" spans="1:12 1025:1025" s="1" customFormat="1" ht="13.8" customHeight="1" x14ac:dyDescent="0.3">
      <c r="A26" s="19"/>
      <c r="B26" s="128" t="s">
        <v>257</v>
      </c>
      <c r="C26" s="2"/>
      <c r="E26" s="101" t="s">
        <v>27</v>
      </c>
      <c r="F26" s="2"/>
      <c r="G26"/>
      <c r="H26" s="10"/>
      <c r="I26" s="20"/>
    </row>
    <row r="27" spans="1:12 1025:1025" s="1" customFormat="1" ht="13.8" customHeight="1" x14ac:dyDescent="0.3">
      <c r="B27" s="2">
        <v>50</v>
      </c>
      <c r="C27" s="2" t="s">
        <v>28</v>
      </c>
      <c r="E27" s="84" t="s">
        <v>29</v>
      </c>
      <c r="F27" s="2"/>
      <c r="G27"/>
      <c r="H27" s="10"/>
      <c r="I27" s="20"/>
    </row>
    <row r="28" spans="1:12 1025:1025" s="16" customFormat="1" ht="15.6" x14ac:dyDescent="0.3">
      <c r="A28" s="49" t="s">
        <v>258</v>
      </c>
      <c r="B28" s="50"/>
      <c r="C28" s="51">
        <v>0.05</v>
      </c>
      <c r="D28" s="2" t="s">
        <v>30</v>
      </c>
      <c r="E28" s="102"/>
      <c r="F28" s="2"/>
      <c r="G28" s="2"/>
      <c r="H28" s="52"/>
      <c r="I28" s="53"/>
      <c r="J28" s="54"/>
      <c r="K28" s="17"/>
      <c r="L28" s="17"/>
      <c r="AMK28"/>
    </row>
    <row r="29" spans="1:12 1025:1025" s="16" customFormat="1" ht="15.6" x14ac:dyDescent="0.3">
      <c r="A29" s="58" t="s">
        <v>259</v>
      </c>
      <c r="B29" s="59">
        <f>B27*C28</f>
        <v>2.5</v>
      </c>
      <c r="C29" s="59" t="s">
        <v>31</v>
      </c>
      <c r="E29" s="103" t="s">
        <v>260</v>
      </c>
      <c r="F29" s="2"/>
      <c r="G29"/>
      <c r="I29" s="17"/>
      <c r="J29" s="17"/>
      <c r="K29" s="17"/>
      <c r="L29" s="17"/>
      <c r="AMK29"/>
    </row>
    <row r="30" spans="1:12 1025:1025" s="16" customFormat="1" ht="15.6" x14ac:dyDescent="0.3">
      <c r="A30" s="48"/>
      <c r="B30" s="7"/>
      <c r="C30" s="7"/>
      <c r="D30" s="36"/>
      <c r="E30" s="104" t="s">
        <v>261</v>
      </c>
      <c r="F30" s="7"/>
      <c r="G30" s="7"/>
      <c r="H30" s="60"/>
      <c r="I30" s="63"/>
      <c r="J30" s="63"/>
      <c r="K30" s="17"/>
      <c r="L30" s="17"/>
      <c r="AMK30"/>
    </row>
    <row r="31" spans="1:12 1025:1025" s="16" customFormat="1" ht="15.6" x14ac:dyDescent="0.3">
      <c r="A31" s="70"/>
      <c r="B31" s="70"/>
      <c r="C31" s="70"/>
      <c r="D31" s="96"/>
      <c r="E31" s="105"/>
      <c r="F31" s="2"/>
      <c r="G31" s="2"/>
      <c r="H31" s="40"/>
      <c r="I31" s="27"/>
      <c r="J31" s="27"/>
      <c r="K31" s="17"/>
      <c r="L31" s="17"/>
      <c r="AMK31"/>
    </row>
    <row r="32" spans="1:12 1025:1025" s="4" customFormat="1" ht="15.6" x14ac:dyDescent="0.3">
      <c r="A32" s="55" t="s">
        <v>262</v>
      </c>
      <c r="B32" s="6"/>
      <c r="C32" s="93" t="s">
        <v>55</v>
      </c>
      <c r="D32" s="94"/>
      <c r="E32" s="95"/>
      <c r="F32" s="88"/>
      <c r="G32" s="88"/>
      <c r="H32" s="89"/>
      <c r="I32" s="54"/>
      <c r="J32" s="54"/>
      <c r="K32" s="28"/>
      <c r="L32" s="28"/>
      <c r="AMK32" s="1"/>
    </row>
    <row r="33" spans="1:12 1025:1025" s="16" customFormat="1" ht="15.6" x14ac:dyDescent="0.3">
      <c r="A33" s="35" t="s">
        <v>263</v>
      </c>
      <c r="B33" s="10"/>
      <c r="C33" s="97">
        <v>30000</v>
      </c>
      <c r="D33" s="46"/>
      <c r="E33" s="90" t="s">
        <v>264</v>
      </c>
      <c r="F33" s="10"/>
      <c r="G33" s="10"/>
      <c r="I33" s="17"/>
      <c r="J33" s="17"/>
      <c r="K33" s="17"/>
      <c r="L33" s="17"/>
      <c r="AMK33"/>
    </row>
    <row r="34" spans="1:12 1025:1025" s="16" customFormat="1" ht="15.6" x14ac:dyDescent="0.3">
      <c r="A34" s="35"/>
      <c r="B34" s="10"/>
      <c r="C34" s="10"/>
      <c r="D34" s="46"/>
      <c r="E34" s="91"/>
      <c r="F34" s="10"/>
      <c r="G34" s="10"/>
      <c r="I34" s="17"/>
      <c r="J34" s="17"/>
      <c r="K34" s="17"/>
      <c r="L34" s="17"/>
      <c r="AMK34"/>
    </row>
    <row r="35" spans="1:12 1025:1025" x14ac:dyDescent="0.3">
      <c r="E35" s="15"/>
      <c r="F35" s="15"/>
    </row>
    <row r="36" spans="1:12 1025:1025" ht="27.6" x14ac:dyDescent="0.3">
      <c r="A36" s="6" t="s">
        <v>265</v>
      </c>
      <c r="B36" s="36"/>
      <c r="C36" s="36"/>
      <c r="D36" s="32" t="s">
        <v>266</v>
      </c>
      <c r="E36" s="33" t="s">
        <v>15</v>
      </c>
      <c r="F36" s="31" t="s">
        <v>16</v>
      </c>
      <c r="G36" s="41" t="s">
        <v>267</v>
      </c>
      <c r="H36" s="48"/>
      <c r="I36" s="7"/>
      <c r="J36" s="7"/>
    </row>
    <row r="37" spans="1:12 1025:1025" s="10" customFormat="1" ht="16.2" customHeight="1" x14ac:dyDescent="0.3">
      <c r="A37" s="17" t="s">
        <v>269</v>
      </c>
      <c r="B37" s="29"/>
      <c r="C37" s="29"/>
      <c r="D37" s="34">
        <v>14000</v>
      </c>
      <c r="E37" s="34">
        <v>600</v>
      </c>
      <c r="F37" s="34">
        <v>300</v>
      </c>
      <c r="G37" s="42">
        <f>Energy!D10*((E37+F37)/2)/365/24</f>
        <v>688.35616438356158</v>
      </c>
      <c r="H37" s="30" t="s">
        <v>268</v>
      </c>
    </row>
    <row r="38" spans="1:12 1025:1025" x14ac:dyDescent="0.3">
      <c r="A38" s="17" t="s">
        <v>270</v>
      </c>
      <c r="B38" s="29"/>
      <c r="C38" s="29"/>
      <c r="D38" s="29">
        <v>255</v>
      </c>
      <c r="E38" s="34">
        <v>600</v>
      </c>
      <c r="F38" s="34">
        <v>300</v>
      </c>
      <c r="G38" s="42">
        <f>D38*((E38+F38)/2)/365/24</f>
        <v>13.09931506849315</v>
      </c>
    </row>
    <row r="39" spans="1:12 1025:1025" x14ac:dyDescent="0.3">
      <c r="A39" s="24" t="s">
        <v>271</v>
      </c>
      <c r="B39" s="29"/>
      <c r="C39" s="29"/>
      <c r="D39" s="29"/>
      <c r="E39" s="34"/>
      <c r="F39" s="34"/>
      <c r="G39" s="42"/>
    </row>
    <row r="40" spans="1:12 1025:1025" x14ac:dyDescent="0.3">
      <c r="G40" s="2"/>
    </row>
    <row r="41" spans="1:12 1025:1025" x14ac:dyDescent="0.3">
      <c r="G41" s="2"/>
    </row>
    <row r="42" spans="1:12 1025:1025" ht="31.8" customHeight="1" x14ac:dyDescent="0.3">
      <c r="A42" s="6" t="s">
        <v>272</v>
      </c>
      <c r="B42" s="13">
        <f>'GDP EU'!K36</f>
        <v>16674.617999999999</v>
      </c>
      <c r="C42" s="9"/>
      <c r="D42" s="7"/>
      <c r="E42" s="7"/>
      <c r="F42" s="7"/>
      <c r="G42" s="44"/>
    </row>
    <row r="43" spans="1:12 1025:1025" x14ac:dyDescent="0.3">
      <c r="A43" s="25" t="s">
        <v>273</v>
      </c>
      <c r="B43" s="14">
        <v>989</v>
      </c>
      <c r="C43" s="14">
        <v>846</v>
      </c>
      <c r="D43" s="14"/>
      <c r="E43" s="14"/>
      <c r="F43" s="14"/>
      <c r="G43" s="45"/>
    </row>
    <row r="44" spans="1:12 1025:1025" x14ac:dyDescent="0.3">
      <c r="A44" t="s">
        <v>274</v>
      </c>
      <c r="B44" s="15">
        <v>80</v>
      </c>
      <c r="C44" s="15">
        <v>60</v>
      </c>
      <c r="G44" s="43"/>
    </row>
    <row r="45" spans="1:12 1025:1025" x14ac:dyDescent="0.3">
      <c r="A45" t="s">
        <v>275</v>
      </c>
      <c r="B45" s="15">
        <v>1000</v>
      </c>
      <c r="D45" s="39" t="s">
        <v>276</v>
      </c>
      <c r="G45" s="43"/>
    </row>
    <row r="46" spans="1:12 1025:1025" x14ac:dyDescent="0.3">
      <c r="G46" s="43"/>
    </row>
    <row r="47" spans="1:12 1025:1025" x14ac:dyDescent="0.3">
      <c r="G47" s="2"/>
    </row>
    <row r="48" spans="1:12 1025:1025" ht="40.799999999999997" customHeight="1" x14ac:dyDescent="0.35">
      <c r="A48" s="38" t="s">
        <v>277</v>
      </c>
      <c r="B48" s="23"/>
      <c r="C48" s="71" t="s">
        <v>278</v>
      </c>
      <c r="D48" s="71" t="s">
        <v>279</v>
      </c>
      <c r="E48" s="22"/>
      <c r="F48" s="383" t="s">
        <v>42</v>
      </c>
      <c r="G48" s="384"/>
      <c r="H48" s="384"/>
      <c r="I48" s="384"/>
      <c r="J48" s="384"/>
      <c r="K48" s="384"/>
      <c r="L48" s="384"/>
    </row>
    <row r="49" spans="1:12" x14ac:dyDescent="0.3">
      <c r="A49" t="s">
        <v>280</v>
      </c>
      <c r="C49" s="72">
        <v>80</v>
      </c>
      <c r="D49" s="73">
        <v>300</v>
      </c>
      <c r="F49" s="19"/>
      <c r="G49" s="2"/>
      <c r="H49" s="2"/>
      <c r="I49" s="2"/>
      <c r="J49" s="2"/>
      <c r="K49" s="2"/>
      <c r="L49" s="2"/>
    </row>
    <row r="50" spans="1:12" ht="15.6" customHeight="1" x14ac:dyDescent="0.3">
      <c r="A50" t="s">
        <v>281</v>
      </c>
      <c r="C50" s="74"/>
      <c r="D50" s="73">
        <v>670</v>
      </c>
      <c r="F50" s="19"/>
      <c r="G50" s="2"/>
      <c r="H50" s="67"/>
      <c r="I50" s="2"/>
      <c r="J50" s="2"/>
      <c r="K50" s="2"/>
      <c r="L50" s="2"/>
    </row>
    <row r="51" spans="1:12" x14ac:dyDescent="0.3">
      <c r="A51" s="2" t="s">
        <v>282</v>
      </c>
      <c r="B51" s="37"/>
      <c r="C51" s="75">
        <v>230</v>
      </c>
      <c r="D51" s="75">
        <v>920</v>
      </c>
      <c r="E51" s="43"/>
      <c r="F51" s="19"/>
      <c r="G51" s="2"/>
      <c r="H51" s="2"/>
      <c r="I51" s="2"/>
      <c r="J51" s="2"/>
      <c r="K51" s="2"/>
      <c r="L51" s="2"/>
    </row>
    <row r="52" spans="1:12" ht="16.2" customHeight="1" x14ac:dyDescent="0.3">
      <c r="A52" s="50" t="s">
        <v>283</v>
      </c>
      <c r="C52" s="73">
        <v>60</v>
      </c>
      <c r="D52" s="73">
        <v>160</v>
      </c>
      <c r="F52" s="19"/>
      <c r="G52" s="2"/>
      <c r="H52" s="66"/>
      <c r="I52" s="2"/>
      <c r="J52" s="2"/>
      <c r="K52" s="2"/>
      <c r="L52" s="2"/>
    </row>
    <row r="53" spans="1:12" x14ac:dyDescent="0.3">
      <c r="A53" s="50" t="s">
        <v>284</v>
      </c>
      <c r="C53" s="73">
        <v>20</v>
      </c>
      <c r="D53" s="73">
        <v>90</v>
      </c>
      <c r="F53" s="19"/>
      <c r="G53" s="2"/>
      <c r="H53" s="2"/>
      <c r="I53" s="2"/>
      <c r="J53" s="2"/>
      <c r="K53" s="2"/>
      <c r="L53" s="2"/>
    </row>
    <row r="54" spans="1:12" ht="13.8" customHeight="1" x14ac:dyDescent="0.3">
      <c r="A54" s="69"/>
      <c r="B54" s="68"/>
      <c r="C54" s="68"/>
      <c r="D54" s="68"/>
      <c r="E54" s="68"/>
      <c r="F54" s="68"/>
      <c r="G54" s="68"/>
      <c r="H54" s="68"/>
      <c r="I54" s="68"/>
      <c r="J54" s="68"/>
    </row>
    <row r="55" spans="1:12" x14ac:dyDescent="0.3">
      <c r="A55" s="59" t="s">
        <v>44</v>
      </c>
    </row>
    <row r="56" spans="1:12" ht="15" customHeight="1" x14ac:dyDescent="0.3">
      <c r="A56" s="385" t="s">
        <v>43</v>
      </c>
      <c r="B56" s="373"/>
      <c r="C56" s="373"/>
      <c r="D56" s="373"/>
      <c r="E56" s="373"/>
      <c r="F56" s="373"/>
      <c r="G56" s="373"/>
      <c r="H56" s="373"/>
      <c r="I56" s="373"/>
      <c r="J56" s="68"/>
    </row>
    <row r="57" spans="1:12" x14ac:dyDescent="0.3">
      <c r="A57" s="373"/>
      <c r="B57" s="373"/>
      <c r="C57" s="373"/>
      <c r="D57" s="373"/>
      <c r="E57" s="373"/>
      <c r="F57" s="373"/>
      <c r="G57" s="373"/>
      <c r="H57" s="373"/>
      <c r="I57" s="373"/>
    </row>
    <row r="58" spans="1:12" x14ac:dyDescent="0.3">
      <c r="A58" s="76"/>
      <c r="B58" s="76"/>
      <c r="C58" s="76"/>
      <c r="D58" s="76"/>
      <c r="E58" s="76"/>
      <c r="F58" s="76"/>
      <c r="G58" s="76"/>
      <c r="H58" s="76"/>
      <c r="I58" s="76"/>
    </row>
    <row r="59" spans="1:12" ht="15" customHeight="1" x14ac:dyDescent="0.3">
      <c r="A59" s="69"/>
      <c r="B59" s="68"/>
      <c r="C59" s="68"/>
      <c r="D59" s="68"/>
      <c r="E59" s="68"/>
      <c r="F59" s="68"/>
      <c r="G59" s="68"/>
      <c r="H59" s="68"/>
      <c r="I59" s="68"/>
      <c r="J59" s="68"/>
    </row>
    <row r="60" spans="1:12" ht="15.6" x14ac:dyDescent="0.3">
      <c r="A60" s="4" t="s">
        <v>285</v>
      </c>
    </row>
    <row r="61" spans="1:12" ht="15.6" x14ac:dyDescent="0.3">
      <c r="A61" s="77" t="s">
        <v>286</v>
      </c>
      <c r="B61" s="78" t="s">
        <v>292</v>
      </c>
      <c r="C61" s="9"/>
      <c r="D61" s="6" t="s">
        <v>49</v>
      </c>
      <c r="E61" s="7"/>
      <c r="F61" s="18" t="s">
        <v>291</v>
      </c>
      <c r="G61" s="7"/>
      <c r="H61" s="7"/>
      <c r="I61" s="7"/>
    </row>
    <row r="62" spans="1:12" x14ac:dyDescent="0.3">
      <c r="A62" t="s">
        <v>287</v>
      </c>
      <c r="B62" s="80">
        <v>1.8</v>
      </c>
      <c r="F62" s="26" t="s">
        <v>51</v>
      </c>
    </row>
    <row r="63" spans="1:12" x14ac:dyDescent="0.3">
      <c r="A63" t="s">
        <v>288</v>
      </c>
      <c r="B63" s="80">
        <v>1.1000000000000001</v>
      </c>
      <c r="F63" s="26" t="s">
        <v>50</v>
      </c>
    </row>
    <row r="64" spans="1:12" x14ac:dyDescent="0.3">
      <c r="A64" t="s">
        <v>289</v>
      </c>
      <c r="B64" s="80">
        <v>0.42</v>
      </c>
      <c r="F64" s="26" t="s">
        <v>52</v>
      </c>
    </row>
    <row r="65" spans="1:12" x14ac:dyDescent="0.3">
      <c r="A65" s="43" t="s">
        <v>290</v>
      </c>
      <c r="B65" s="79">
        <v>-0.12</v>
      </c>
      <c r="F65" s="19"/>
    </row>
    <row r="66" spans="1:12" x14ac:dyDescent="0.3">
      <c r="A66" s="7"/>
      <c r="B66" s="82"/>
      <c r="C66" s="9"/>
      <c r="D66" s="7"/>
      <c r="E66" s="7"/>
      <c r="F66" s="26"/>
    </row>
    <row r="67" spans="1:12" s="1" customFormat="1" x14ac:dyDescent="0.3">
      <c r="A67" s="1" t="s">
        <v>48</v>
      </c>
      <c r="B67" s="81">
        <f>SUM(B62:B66)</f>
        <v>3.2</v>
      </c>
      <c r="C67" s="5"/>
      <c r="D67" s="11">
        <f>B67/F69*1000</f>
        <v>1792</v>
      </c>
      <c r="F67" s="61"/>
    </row>
    <row r="68" spans="1:12" x14ac:dyDescent="0.3">
      <c r="B68" s="80"/>
      <c r="D68" s="15"/>
      <c r="F68" s="19"/>
    </row>
    <row r="69" spans="1:12" x14ac:dyDescent="0.3">
      <c r="A69" t="s">
        <v>293</v>
      </c>
      <c r="B69" s="80">
        <v>12.5</v>
      </c>
      <c r="D69" s="15">
        <v>7000</v>
      </c>
      <c r="F69" s="80">
        <f>(B69*1000)/D69</f>
        <v>1.7857142857142858</v>
      </c>
    </row>
    <row r="70" spans="1:12" x14ac:dyDescent="0.3">
      <c r="B70" s="80"/>
      <c r="F70" s="19"/>
    </row>
    <row r="73" spans="1:12" s="12" customFormat="1" x14ac:dyDescent="0.3">
      <c r="A73" s="6" t="s">
        <v>294</v>
      </c>
      <c r="B73" s="78" t="s">
        <v>295</v>
      </c>
      <c r="C73" s="8" t="s">
        <v>296</v>
      </c>
      <c r="D73" s="6"/>
      <c r="E73" s="6" t="s">
        <v>297</v>
      </c>
      <c r="F73" s="18" t="s">
        <v>291</v>
      </c>
      <c r="G73" s="6"/>
      <c r="H73" s="6"/>
      <c r="I73" s="6"/>
    </row>
    <row r="74" spans="1:12" s="17" customFormat="1" x14ac:dyDescent="0.3">
      <c r="A74" s="12" t="s">
        <v>298</v>
      </c>
      <c r="B74" s="324">
        <v>1330</v>
      </c>
      <c r="C74" s="10">
        <f>B74*0.8</f>
        <v>1064</v>
      </c>
      <c r="D74" s="12"/>
      <c r="E74" s="87"/>
      <c r="F74" s="84" t="s">
        <v>54</v>
      </c>
    </row>
    <row r="75" spans="1:12" s="17" customFormat="1" x14ac:dyDescent="0.3">
      <c r="A75" s="12" t="s">
        <v>299</v>
      </c>
      <c r="B75" s="324"/>
      <c r="C75" s="87">
        <v>12.4</v>
      </c>
      <c r="D75" s="12"/>
      <c r="E75" s="87">
        <v>24</v>
      </c>
      <c r="F75" s="84"/>
    </row>
    <row r="76" spans="1:12" s="17" customFormat="1" x14ac:dyDescent="0.3">
      <c r="A76" s="85" t="s">
        <v>300</v>
      </c>
      <c r="B76" s="325"/>
      <c r="C76" s="86">
        <v>34.700000000000003</v>
      </c>
      <c r="D76" s="85"/>
      <c r="E76" s="86">
        <v>79</v>
      </c>
      <c r="F76" s="84" t="s">
        <v>53</v>
      </c>
    </row>
    <row r="77" spans="1:12" x14ac:dyDescent="0.3">
      <c r="A77" t="s">
        <v>302</v>
      </c>
      <c r="B77" s="79"/>
      <c r="C77" s="92">
        <f>C74/((C76+C75)*0.87)</f>
        <v>25.965785684652364</v>
      </c>
      <c r="E77" s="83"/>
      <c r="F77" s="19" t="s">
        <v>301</v>
      </c>
    </row>
    <row r="78" spans="1:12" x14ac:dyDescent="0.3">
      <c r="E78" s="83"/>
      <c r="F78" s="19"/>
    </row>
    <row r="80" spans="1:12" s="1" customFormat="1" ht="31.2" customHeight="1" x14ac:dyDescent="0.3">
      <c r="A80" s="332" t="s">
        <v>331</v>
      </c>
      <c r="B80" s="326" t="s">
        <v>320</v>
      </c>
      <c r="C80" s="317"/>
      <c r="D80" s="322" t="s">
        <v>328</v>
      </c>
      <c r="E80" s="317"/>
      <c r="F80" s="18" t="s">
        <v>335</v>
      </c>
      <c r="G80" s="6"/>
      <c r="H80" s="6"/>
      <c r="I80" s="6"/>
      <c r="J80" s="6"/>
      <c r="K80" s="6"/>
      <c r="L80" s="6"/>
    </row>
    <row r="81" spans="1:13" x14ac:dyDescent="0.3">
      <c r="A81" s="12" t="s">
        <v>322</v>
      </c>
      <c r="B81" s="327">
        <v>1400</v>
      </c>
      <c r="C81" s="318"/>
      <c r="D81" s="318">
        <v>300</v>
      </c>
      <c r="E81" s="318"/>
      <c r="F81" s="319" t="s">
        <v>325</v>
      </c>
      <c r="G81" s="2"/>
      <c r="H81" s="2"/>
      <c r="I81" s="2"/>
      <c r="J81" s="2"/>
      <c r="K81" s="2"/>
      <c r="L81" s="2"/>
    </row>
    <row r="82" spans="1:13" x14ac:dyDescent="0.3">
      <c r="A82" s="336" t="s">
        <v>333</v>
      </c>
      <c r="B82" s="327">
        <v>300</v>
      </c>
      <c r="C82" s="318"/>
      <c r="D82" s="318">
        <v>200</v>
      </c>
      <c r="E82" s="318"/>
      <c r="F82" s="19" t="s">
        <v>336</v>
      </c>
      <c r="G82" s="2"/>
      <c r="H82" s="2"/>
      <c r="I82" s="2"/>
      <c r="J82" s="2"/>
      <c r="K82" s="2"/>
      <c r="L82" s="2"/>
    </row>
    <row r="83" spans="1:13" x14ac:dyDescent="0.3">
      <c r="A83" t="s">
        <v>321</v>
      </c>
      <c r="B83" s="328">
        <v>1200</v>
      </c>
      <c r="C83" s="318"/>
      <c r="D83" s="318">
        <v>500</v>
      </c>
      <c r="E83" s="318"/>
      <c r="F83" s="19" t="s">
        <v>334</v>
      </c>
      <c r="G83" s="2"/>
      <c r="H83" s="2"/>
      <c r="I83" s="2"/>
      <c r="J83" s="2"/>
      <c r="K83" s="2"/>
      <c r="L83" s="2"/>
    </row>
    <row r="84" spans="1:13" x14ac:dyDescent="0.3">
      <c r="A84" t="s">
        <v>323</v>
      </c>
      <c r="B84" s="328">
        <v>1400</v>
      </c>
      <c r="C84" s="318"/>
      <c r="D84" s="318">
        <v>1000</v>
      </c>
      <c r="E84" s="318"/>
      <c r="F84" s="19" t="s">
        <v>326</v>
      </c>
      <c r="G84" s="2"/>
      <c r="H84" s="2"/>
      <c r="I84" s="2"/>
      <c r="J84" s="2"/>
      <c r="K84" s="2"/>
      <c r="L84" s="2"/>
    </row>
    <row r="85" spans="1:13" x14ac:dyDescent="0.3">
      <c r="A85" t="s">
        <v>324</v>
      </c>
      <c r="B85" s="328">
        <v>500</v>
      </c>
      <c r="C85" s="318"/>
      <c r="D85" s="318">
        <v>300</v>
      </c>
      <c r="E85" s="318"/>
      <c r="F85" s="19" t="s">
        <v>327</v>
      </c>
      <c r="G85" s="2"/>
      <c r="H85" s="2"/>
      <c r="I85" s="2"/>
      <c r="J85" s="2"/>
      <c r="K85" s="2"/>
      <c r="L85" s="2"/>
    </row>
    <row r="86" spans="1:13" ht="28.2" customHeight="1" x14ac:dyDescent="0.3">
      <c r="A86" s="331" t="s">
        <v>330</v>
      </c>
      <c r="B86" s="328">
        <v>1000</v>
      </c>
      <c r="C86" s="318"/>
      <c r="D86" s="318">
        <v>500</v>
      </c>
      <c r="E86" s="318"/>
      <c r="F86" s="386" t="s">
        <v>338</v>
      </c>
      <c r="G86" s="387"/>
      <c r="H86" s="387"/>
      <c r="I86" s="387"/>
      <c r="J86" s="387"/>
      <c r="K86" s="387"/>
      <c r="L86" s="387"/>
      <c r="M86" s="385"/>
    </row>
    <row r="87" spans="1:13" ht="42.6" customHeight="1" x14ac:dyDescent="0.3">
      <c r="A87" s="323" t="s">
        <v>329</v>
      </c>
      <c r="B87" s="329">
        <v>1200</v>
      </c>
      <c r="C87" s="320"/>
      <c r="D87" s="320">
        <v>900</v>
      </c>
      <c r="E87" s="320"/>
      <c r="F87" s="386" t="s">
        <v>337</v>
      </c>
      <c r="G87" s="387"/>
      <c r="H87" s="387"/>
      <c r="I87" s="387"/>
      <c r="J87" s="387"/>
      <c r="K87" s="387"/>
      <c r="L87" s="387"/>
      <c r="M87" s="385"/>
    </row>
    <row r="88" spans="1:13" s="1" customFormat="1" x14ac:dyDescent="0.3">
      <c r="B88" s="330"/>
      <c r="C88" s="321"/>
      <c r="D88" s="321"/>
      <c r="E88" s="321"/>
      <c r="F88" s="101" t="s">
        <v>319</v>
      </c>
      <c r="G88" s="88"/>
      <c r="H88" s="88"/>
      <c r="I88" s="88"/>
      <c r="J88" s="88"/>
      <c r="K88" s="88"/>
      <c r="L88" s="88"/>
    </row>
    <row r="89" spans="1:13" ht="28.8" customHeight="1" x14ac:dyDescent="0.3">
      <c r="A89" s="335" t="s">
        <v>48</v>
      </c>
      <c r="B89" s="333">
        <f>SUM(B81:B87)</f>
        <v>7000</v>
      </c>
      <c r="C89" s="321"/>
      <c r="D89" s="334">
        <f>SUM(D81:D87)</f>
        <v>3700</v>
      </c>
      <c r="E89" s="318"/>
      <c r="F89" s="386" t="s">
        <v>332</v>
      </c>
      <c r="G89" s="385"/>
      <c r="H89" s="385"/>
      <c r="I89" s="385"/>
      <c r="J89" s="385"/>
      <c r="K89" s="385"/>
      <c r="L89" s="385"/>
      <c r="M89" s="385"/>
    </row>
    <row r="93" spans="1:13" x14ac:dyDescent="0.3">
      <c r="A93" s="6" t="s">
        <v>339</v>
      </c>
      <c r="B93" s="8" t="s">
        <v>340</v>
      </c>
      <c r="C93" s="8" t="s">
        <v>341</v>
      </c>
      <c r="D93" s="8" t="s">
        <v>342</v>
      </c>
      <c r="E93" s="6"/>
      <c r="F93" s="381" t="s">
        <v>343</v>
      </c>
      <c r="G93" s="382"/>
      <c r="H93" s="382"/>
      <c r="I93" s="382"/>
      <c r="J93" s="382"/>
      <c r="K93" s="382"/>
      <c r="L93" s="382"/>
    </row>
    <row r="94" spans="1:13" x14ac:dyDescent="0.3">
      <c r="A94" t="s">
        <v>344</v>
      </c>
      <c r="B94" s="337">
        <v>260</v>
      </c>
      <c r="C94" s="337">
        <f>(B94*0.33*365*24)/1000</f>
        <v>751.60799999999995</v>
      </c>
      <c r="D94" s="11">
        <f>Energy!D14*'GDP EU'!L36</f>
        <v>19797.361056097143</v>
      </c>
      <c r="F94" s="373" t="s">
        <v>345</v>
      </c>
      <c r="G94" s="373"/>
      <c r="H94" s="373"/>
      <c r="I94" s="373"/>
      <c r="J94" s="373"/>
      <c r="K94" s="373"/>
      <c r="L94" s="373"/>
    </row>
    <row r="95" spans="1:13" x14ac:dyDescent="0.3">
      <c r="A95" t="s">
        <v>346</v>
      </c>
      <c r="B95" s="337">
        <f>726</f>
        <v>726</v>
      </c>
      <c r="C95" s="337">
        <v>1644</v>
      </c>
      <c r="D95" s="337"/>
      <c r="F95" s="338" t="s">
        <v>347</v>
      </c>
    </row>
    <row r="96" spans="1:13" x14ac:dyDescent="0.3">
      <c r="A96" s="7"/>
      <c r="B96" s="339"/>
      <c r="C96" s="339"/>
      <c r="D96" s="339"/>
      <c r="E96" s="7"/>
      <c r="F96" s="7"/>
      <c r="G96" s="7"/>
      <c r="H96" s="7"/>
      <c r="I96" s="7"/>
      <c r="J96" s="7"/>
      <c r="K96" s="7"/>
      <c r="L96" s="7"/>
    </row>
    <row r="97" spans="1:14" x14ac:dyDescent="0.3">
      <c r="A97" s="1" t="s">
        <v>348</v>
      </c>
      <c r="B97" s="11"/>
      <c r="C97" s="11">
        <f>SUM(C94:C96)</f>
        <v>2395.6080000000002</v>
      </c>
      <c r="D97" s="340"/>
      <c r="F97" s="1" t="s">
        <v>352</v>
      </c>
    </row>
    <row r="99" spans="1:14" x14ac:dyDescent="0.3">
      <c r="A99" s="6" t="s">
        <v>349</v>
      </c>
      <c r="B99" s="8" t="s">
        <v>353</v>
      </c>
      <c r="C99" s="8" t="s">
        <v>354</v>
      </c>
      <c r="D99" s="6" t="s">
        <v>355</v>
      </c>
      <c r="E99" s="8" t="s">
        <v>356</v>
      </c>
      <c r="F99" s="6" t="s">
        <v>361</v>
      </c>
      <c r="G99" s="6"/>
      <c r="H99" s="6"/>
      <c r="I99" s="6"/>
      <c r="J99" s="6"/>
      <c r="K99" s="6"/>
      <c r="L99" s="6"/>
      <c r="M99" s="1"/>
      <c r="N99" s="1"/>
    </row>
    <row r="100" spans="1:14" x14ac:dyDescent="0.3">
      <c r="A100" t="s">
        <v>357</v>
      </c>
      <c r="B100" s="341">
        <v>6</v>
      </c>
      <c r="C100" s="342">
        <v>4.8</v>
      </c>
      <c r="D100" s="342">
        <f>B100*C100/24/0.7</f>
        <v>1.7142857142857144</v>
      </c>
      <c r="E100" s="318">
        <v>1.8</v>
      </c>
      <c r="F100" s="338" t="s">
        <v>350</v>
      </c>
      <c r="L100" t="s">
        <v>359</v>
      </c>
    </row>
    <row r="101" spans="1:14" x14ac:dyDescent="0.3">
      <c r="A101" s="343" t="s">
        <v>358</v>
      </c>
      <c r="B101" s="344"/>
      <c r="C101" s="345">
        <v>4</v>
      </c>
      <c r="D101" s="344"/>
      <c r="E101" s="7"/>
      <c r="F101" s="346" t="s">
        <v>351</v>
      </c>
      <c r="G101" s="7"/>
      <c r="H101" s="7"/>
      <c r="I101" s="7"/>
      <c r="J101" s="7"/>
      <c r="K101" s="7"/>
      <c r="L101" s="7" t="s">
        <v>360</v>
      </c>
    </row>
    <row r="102" spans="1:14" x14ac:dyDescent="0.3">
      <c r="A102" s="59" t="s">
        <v>362</v>
      </c>
      <c r="B102" s="347"/>
      <c r="C102" s="348">
        <f>D100/(C100/C101)</f>
        <v>1.4285714285714288</v>
      </c>
      <c r="D102" s="341"/>
      <c r="F102" s="1" t="s">
        <v>363</v>
      </c>
    </row>
    <row r="105" spans="1:14" ht="28.8" x14ac:dyDescent="0.3">
      <c r="A105" s="22" t="s">
        <v>379</v>
      </c>
      <c r="B105" s="23" t="s">
        <v>370</v>
      </c>
      <c r="C105" s="23" t="s">
        <v>382</v>
      </c>
      <c r="D105" s="23" t="s">
        <v>383</v>
      </c>
      <c r="E105" s="23"/>
      <c r="F105" s="349"/>
      <c r="G105" s="7"/>
      <c r="H105" s="7"/>
      <c r="I105" s="7"/>
      <c r="J105" s="7"/>
      <c r="K105" s="7"/>
      <c r="L105" s="7"/>
    </row>
    <row r="106" spans="1:14" x14ac:dyDescent="0.3">
      <c r="A106" t="s">
        <v>380</v>
      </c>
      <c r="B106" s="15">
        <v>4.0000000000000001E-3</v>
      </c>
      <c r="D106" s="15"/>
      <c r="F106" s="101" t="s">
        <v>371</v>
      </c>
    </row>
    <row r="107" spans="1:14" x14ac:dyDescent="0.3">
      <c r="A107" t="s">
        <v>381</v>
      </c>
      <c r="C107" s="15">
        <v>8.5</v>
      </c>
      <c r="D107" s="15"/>
      <c r="F107" s="101" t="s">
        <v>372</v>
      </c>
    </row>
    <row r="108" spans="1:14" x14ac:dyDescent="0.3">
      <c r="A108" s="7" t="s">
        <v>373</v>
      </c>
      <c r="B108" s="9"/>
      <c r="C108" s="9">
        <v>10</v>
      </c>
      <c r="D108" s="9"/>
      <c r="E108" s="9"/>
      <c r="F108" s="48"/>
      <c r="G108" s="7"/>
      <c r="H108" s="7"/>
      <c r="I108" s="7"/>
      <c r="J108" s="7"/>
      <c r="K108" s="7"/>
      <c r="L108" s="7"/>
    </row>
    <row r="109" spans="1:14" x14ac:dyDescent="0.3">
      <c r="A109" s="1" t="s">
        <v>374</v>
      </c>
      <c r="B109" s="5"/>
      <c r="C109" s="5">
        <f>B106*C108</f>
        <v>0.04</v>
      </c>
      <c r="D109" s="5">
        <f>B106*C108*365</f>
        <v>14.6</v>
      </c>
      <c r="E109" s="5"/>
      <c r="F109" s="19"/>
    </row>
    <row r="110" spans="1:14" x14ac:dyDescent="0.3">
      <c r="A110" s="1" t="s">
        <v>375</v>
      </c>
      <c r="D110" s="11">
        <f>1.2*24*365*0.8/1000</f>
        <v>8.4095999999999993</v>
      </c>
      <c r="E110" s="350">
        <f>D109*1000/365/24/0.8</f>
        <v>2.0833333333333335</v>
      </c>
    </row>
    <row r="111" spans="1:14" x14ac:dyDescent="0.3">
      <c r="A111" s="1" t="s">
        <v>384</v>
      </c>
      <c r="D111" s="11"/>
      <c r="E111" s="351">
        <f>E110*7*1.35</f>
        <v>19.687500000000004</v>
      </c>
    </row>
    <row r="113" spans="1:10" x14ac:dyDescent="0.3">
      <c r="A113" s="12"/>
    </row>
    <row r="115" spans="1:10" ht="31.2" x14ac:dyDescent="0.3">
      <c r="A115" s="332" t="s">
        <v>388</v>
      </c>
      <c r="B115" s="23" t="s">
        <v>392</v>
      </c>
      <c r="C115" s="23" t="s">
        <v>393</v>
      </c>
      <c r="D115" s="23" t="s">
        <v>394</v>
      </c>
      <c r="E115" s="23" t="s">
        <v>395</v>
      </c>
      <c r="F115" s="18" t="s">
        <v>398</v>
      </c>
      <c r="G115" s="7"/>
      <c r="H115" s="7"/>
      <c r="I115" s="7"/>
      <c r="J115" s="7"/>
    </row>
    <row r="116" spans="1:10" x14ac:dyDescent="0.3">
      <c r="A116" t="s">
        <v>389</v>
      </c>
      <c r="B116" s="15">
        <f>'GDP EU'!K37</f>
        <v>84000</v>
      </c>
      <c r="C116" s="15">
        <v>170000</v>
      </c>
      <c r="D116" s="15">
        <v>260000</v>
      </c>
      <c r="E116" s="15"/>
      <c r="F116" s="19"/>
    </row>
    <row r="117" spans="1:10" x14ac:dyDescent="0.3">
      <c r="A117" t="s">
        <v>390</v>
      </c>
      <c r="B117" s="15">
        <v>715</v>
      </c>
      <c r="C117" s="15">
        <f>226*1.5</f>
        <v>339</v>
      </c>
      <c r="E117" s="15"/>
      <c r="F117" s="19" t="s">
        <v>386</v>
      </c>
    </row>
    <row r="118" spans="1:10" x14ac:dyDescent="0.3">
      <c r="A118" t="s">
        <v>391</v>
      </c>
      <c r="B118" s="15">
        <v>1400</v>
      </c>
      <c r="E118" s="15"/>
      <c r="F118" s="19" t="s">
        <v>387</v>
      </c>
    </row>
    <row r="119" spans="1:10" ht="15" thickBot="1" x14ac:dyDescent="0.35">
      <c r="A119" t="s">
        <v>399</v>
      </c>
      <c r="B119" s="352">
        <f>B118*1.5</f>
        <v>2100</v>
      </c>
      <c r="E119" s="353">
        <f>D116/B116*B117</f>
        <v>2213.0952380952381</v>
      </c>
      <c r="F119" s="19" t="s">
        <v>396</v>
      </c>
    </row>
    <row r="120" spans="1:10" ht="15" thickTop="1" x14ac:dyDescent="0.3">
      <c r="E120" s="15"/>
      <c r="F120" s="19"/>
      <c r="G120" t="s">
        <v>397</v>
      </c>
    </row>
    <row r="132" spans="1:9" ht="15.6" x14ac:dyDescent="0.3">
      <c r="A132" s="77" t="s">
        <v>376</v>
      </c>
    </row>
    <row r="133" spans="1:9" x14ac:dyDescent="0.3">
      <c r="A133" t="s">
        <v>378</v>
      </c>
    </row>
    <row r="134" spans="1:9" x14ac:dyDescent="0.3">
      <c r="A134" s="12" t="s">
        <v>377</v>
      </c>
    </row>
    <row r="135" spans="1:9" x14ac:dyDescent="0.3">
      <c r="A135" s="12" t="s">
        <v>385</v>
      </c>
    </row>
    <row r="136" spans="1:9" ht="58.2" customHeight="1" x14ac:dyDescent="0.3">
      <c r="A136" s="388" t="s">
        <v>406</v>
      </c>
      <c r="B136" s="373"/>
      <c r="C136" s="373"/>
      <c r="D136" s="373"/>
      <c r="E136" s="373"/>
      <c r="F136" s="373"/>
      <c r="G136" s="373"/>
      <c r="H136" s="373"/>
      <c r="I136" s="373"/>
    </row>
  </sheetData>
  <mergeCells count="8">
    <mergeCell ref="A136:I136"/>
    <mergeCell ref="F93:L93"/>
    <mergeCell ref="F94:L94"/>
    <mergeCell ref="F48:L48"/>
    <mergeCell ref="A56:I57"/>
    <mergeCell ref="F89:M89"/>
    <mergeCell ref="F87:M87"/>
    <mergeCell ref="F86:M86"/>
  </mergeCells>
  <hyperlinks>
    <hyperlink ref="F48" r:id="rId1"/>
    <hyperlink ref="E26" r:id="rId2"/>
    <hyperlink ref="E27" r:id="rId3"/>
    <hyperlink ref="F76" r:id="rId4"/>
    <hyperlink ref="F74" r:id="rId5"/>
    <hyperlink ref="F88" r:id="rId6"/>
    <hyperlink ref="F95" r:id="rId7"/>
    <hyperlink ref="F101" r:id="rId8"/>
    <hyperlink ref="F106" r:id="rId9"/>
    <hyperlink ref="F107" r:id="rId10"/>
  </hyperlinks>
  <pageMargins left="0.7" right="0.7" top="0.75" bottom="0.75" header="0.3" footer="0.3"/>
  <pageSetup paperSize="9" orientation="landscape" r:id="rId11"/>
  <drawing r:id="rId1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7"/>
  <sheetViews>
    <sheetView topLeftCell="K1" workbookViewId="0">
      <selection activeCell="Q19" sqref="Q18:Q19"/>
    </sheetView>
  </sheetViews>
  <sheetFormatPr baseColWidth="10" defaultRowHeight="14.4" x14ac:dyDescent="0.3"/>
  <cols>
    <col min="1" max="1" width="20.44140625" style="110" customWidth="1"/>
    <col min="2" max="11" width="11.5546875" style="109"/>
    <col min="12" max="12" width="9.88671875" style="109" bestFit="1" customWidth="1"/>
    <col min="13" max="13" width="16.109375" bestFit="1" customWidth="1"/>
    <col min="15" max="15" width="16.21875" customWidth="1"/>
    <col min="17" max="17" width="46.5546875" customWidth="1"/>
    <col min="19" max="19" width="16.44140625" customWidth="1"/>
    <col min="257" max="257" width="20.44140625" customWidth="1"/>
    <col min="513" max="513" width="20.44140625" customWidth="1"/>
    <col min="769" max="769" width="20.44140625" customWidth="1"/>
    <col min="1025" max="1025" width="20.44140625" customWidth="1"/>
    <col min="1281" max="1281" width="20.44140625" customWidth="1"/>
    <col min="1537" max="1537" width="20.44140625" customWidth="1"/>
    <col min="1793" max="1793" width="20.44140625" customWidth="1"/>
    <col min="2049" max="2049" width="20.44140625" customWidth="1"/>
    <col min="2305" max="2305" width="20.44140625" customWidth="1"/>
    <col min="2561" max="2561" width="20.44140625" customWidth="1"/>
    <col min="2817" max="2817" width="20.44140625" customWidth="1"/>
    <col min="3073" max="3073" width="20.44140625" customWidth="1"/>
    <col min="3329" max="3329" width="20.44140625" customWidth="1"/>
    <col min="3585" max="3585" width="20.44140625" customWidth="1"/>
    <col min="3841" max="3841" width="20.44140625" customWidth="1"/>
    <col min="4097" max="4097" width="20.44140625" customWidth="1"/>
    <col min="4353" max="4353" width="20.44140625" customWidth="1"/>
    <col min="4609" max="4609" width="20.44140625" customWidth="1"/>
    <col min="4865" max="4865" width="20.44140625" customWidth="1"/>
    <col min="5121" max="5121" width="20.44140625" customWidth="1"/>
    <col min="5377" max="5377" width="20.44140625" customWidth="1"/>
    <col min="5633" max="5633" width="20.44140625" customWidth="1"/>
    <col min="5889" max="5889" width="20.44140625" customWidth="1"/>
    <col min="6145" max="6145" width="20.44140625" customWidth="1"/>
    <col min="6401" max="6401" width="20.44140625" customWidth="1"/>
    <col min="6657" max="6657" width="20.44140625" customWidth="1"/>
    <col min="6913" max="6913" width="20.44140625" customWidth="1"/>
    <col min="7169" max="7169" width="20.44140625" customWidth="1"/>
    <col min="7425" max="7425" width="20.44140625" customWidth="1"/>
    <col min="7681" max="7681" width="20.44140625" customWidth="1"/>
    <col min="7937" max="7937" width="20.44140625" customWidth="1"/>
    <col min="8193" max="8193" width="20.44140625" customWidth="1"/>
    <col min="8449" max="8449" width="20.44140625" customWidth="1"/>
    <col min="8705" max="8705" width="20.44140625" customWidth="1"/>
    <col min="8961" max="8961" width="20.44140625" customWidth="1"/>
    <col min="9217" max="9217" width="20.44140625" customWidth="1"/>
    <col min="9473" max="9473" width="20.44140625" customWidth="1"/>
    <col min="9729" max="9729" width="20.44140625" customWidth="1"/>
    <col min="9985" max="9985" width="20.44140625" customWidth="1"/>
    <col min="10241" max="10241" width="20.44140625" customWidth="1"/>
    <col min="10497" max="10497" width="20.44140625" customWidth="1"/>
    <col min="10753" max="10753" width="20.44140625" customWidth="1"/>
    <col min="11009" max="11009" width="20.44140625" customWidth="1"/>
    <col min="11265" max="11265" width="20.44140625" customWidth="1"/>
    <col min="11521" max="11521" width="20.44140625" customWidth="1"/>
    <col min="11777" max="11777" width="20.44140625" customWidth="1"/>
    <col min="12033" max="12033" width="20.44140625" customWidth="1"/>
    <col min="12289" max="12289" width="20.44140625" customWidth="1"/>
    <col min="12545" max="12545" width="20.44140625" customWidth="1"/>
    <col min="12801" max="12801" width="20.44140625" customWidth="1"/>
    <col min="13057" max="13057" width="20.44140625" customWidth="1"/>
    <col min="13313" max="13313" width="20.44140625" customWidth="1"/>
    <col min="13569" max="13569" width="20.44140625" customWidth="1"/>
    <col min="13825" max="13825" width="20.44140625" customWidth="1"/>
    <col min="14081" max="14081" width="20.44140625" customWidth="1"/>
    <col min="14337" max="14337" width="20.44140625" customWidth="1"/>
    <col min="14593" max="14593" width="20.44140625" customWidth="1"/>
    <col min="14849" max="14849" width="20.44140625" customWidth="1"/>
    <col min="15105" max="15105" width="20.44140625" customWidth="1"/>
    <col min="15361" max="15361" width="20.44140625" customWidth="1"/>
    <col min="15617" max="15617" width="20.44140625" customWidth="1"/>
    <col min="15873" max="15873" width="20.44140625" customWidth="1"/>
    <col min="16129" max="16129" width="20.44140625" customWidth="1"/>
  </cols>
  <sheetData>
    <row r="1" spans="1:19" s="106" customFormat="1" x14ac:dyDescent="0.3">
      <c r="A1" s="111" t="s">
        <v>170</v>
      </c>
      <c r="B1" s="107"/>
      <c r="C1" s="107"/>
      <c r="D1" s="107"/>
      <c r="E1" s="107"/>
      <c r="F1" s="107"/>
      <c r="G1" s="107"/>
      <c r="H1" s="107"/>
      <c r="I1" s="107"/>
      <c r="J1" s="107"/>
      <c r="K1" s="107"/>
      <c r="L1" s="107"/>
      <c r="M1" s="122" t="s">
        <v>212</v>
      </c>
      <c r="R1" s="354" t="s">
        <v>401</v>
      </c>
      <c r="S1" s="354" t="s">
        <v>402</v>
      </c>
    </row>
    <row r="2" spans="1:19" ht="30" customHeight="1" x14ac:dyDescent="0.3">
      <c r="A2" s="124" t="s">
        <v>127</v>
      </c>
      <c r="B2" s="125" t="s">
        <v>128</v>
      </c>
      <c r="C2" s="125" t="s">
        <v>129</v>
      </c>
      <c r="D2" s="125" t="s">
        <v>130</v>
      </c>
      <c r="E2" s="125" t="s">
        <v>131</v>
      </c>
      <c r="F2" s="125" t="s">
        <v>132</v>
      </c>
      <c r="G2" s="125" t="s">
        <v>133</v>
      </c>
      <c r="H2" s="125" t="s">
        <v>134</v>
      </c>
      <c r="I2" s="125" t="s">
        <v>135</v>
      </c>
      <c r="J2" s="125" t="s">
        <v>136</v>
      </c>
      <c r="K2" s="125" t="s">
        <v>137</v>
      </c>
      <c r="L2" s="126" t="s">
        <v>169</v>
      </c>
      <c r="M2" s="125" t="s">
        <v>214</v>
      </c>
      <c r="N2" s="127" t="s">
        <v>213</v>
      </c>
      <c r="O2" s="127" t="s">
        <v>400</v>
      </c>
      <c r="Q2" s="355" t="s">
        <v>403</v>
      </c>
      <c r="R2" s="356">
        <f>(180*0.25+56*0.33+550*0.16)*365*24/1000+(50+20)</f>
        <v>1396.9648</v>
      </c>
      <c r="S2" s="355" t="s">
        <v>404</v>
      </c>
    </row>
    <row r="3" spans="1:19" x14ac:dyDescent="0.3">
      <c r="A3" s="15" t="s">
        <v>138</v>
      </c>
      <c r="B3" s="108">
        <v>3423.4659999999999</v>
      </c>
      <c r="C3" s="108">
        <v>3761.1419999999998</v>
      </c>
      <c r="D3" s="108">
        <v>3545.9459999999999</v>
      </c>
      <c r="E3" s="108">
        <v>3753.6869999999999</v>
      </c>
      <c r="F3" s="108">
        <v>3904.9209999999998</v>
      </c>
      <c r="G3" s="108">
        <v>3383.0909999999999</v>
      </c>
      <c r="H3" s="108">
        <v>3496.6060000000002</v>
      </c>
      <c r="I3" s="108">
        <v>3664.511</v>
      </c>
      <c r="J3" s="108">
        <v>3951.34</v>
      </c>
      <c r="K3" s="108">
        <v>3863.3440000000001</v>
      </c>
      <c r="L3" s="118"/>
      <c r="N3" s="123">
        <v>0.8</v>
      </c>
      <c r="O3" s="337">
        <f>100000*L3</f>
        <v>0</v>
      </c>
    </row>
    <row r="4" spans="1:19" x14ac:dyDescent="0.3">
      <c r="A4" s="15" t="s">
        <v>139</v>
      </c>
      <c r="B4" s="108">
        <v>2455.3090000000002</v>
      </c>
      <c r="C4" s="108">
        <v>2635.799</v>
      </c>
      <c r="D4" s="108">
        <v>2677.0819999999999</v>
      </c>
      <c r="E4" s="108">
        <v>2755.3560000000002</v>
      </c>
      <c r="F4" s="108">
        <v>3036.31</v>
      </c>
      <c r="G4" s="108">
        <v>2897.06</v>
      </c>
      <c r="H4" s="108">
        <v>2669.107</v>
      </c>
      <c r="I4" s="108">
        <v>2640.067</v>
      </c>
      <c r="J4" s="108">
        <v>2828.8330000000001</v>
      </c>
      <c r="K4" s="108">
        <v>2743.5859999999998</v>
      </c>
      <c r="L4" s="118"/>
      <c r="N4" s="3"/>
    </row>
    <row r="5" spans="1:19" x14ac:dyDescent="0.3">
      <c r="A5" s="15" t="s">
        <v>140</v>
      </c>
      <c r="B5" s="108">
        <v>2647.5369999999998</v>
      </c>
      <c r="C5" s="108">
        <v>2864.03</v>
      </c>
      <c r="D5" s="108">
        <v>2685.3110000000001</v>
      </c>
      <c r="E5" s="108">
        <v>2811.9569999999999</v>
      </c>
      <c r="F5" s="108">
        <v>2856.6970000000001</v>
      </c>
      <c r="G5" s="108">
        <v>2439.4349999999999</v>
      </c>
      <c r="H5" s="108">
        <v>2466.152</v>
      </c>
      <c r="I5" s="108">
        <v>2591.7750000000001</v>
      </c>
      <c r="J5" s="108">
        <v>2780.152</v>
      </c>
      <c r="K5" s="108">
        <v>2707.0740000000001</v>
      </c>
      <c r="L5" s="118"/>
      <c r="N5" s="123">
        <v>0.52</v>
      </c>
    </row>
    <row r="6" spans="1:19" x14ac:dyDescent="0.3">
      <c r="A6" s="15" t="s">
        <v>141</v>
      </c>
      <c r="B6" s="108">
        <v>2129.0210000000002</v>
      </c>
      <c r="C6" s="108">
        <v>2278.3760000000002</v>
      </c>
      <c r="D6" s="108">
        <v>2073.971</v>
      </c>
      <c r="E6" s="108">
        <v>2131.1590000000001</v>
      </c>
      <c r="F6" s="108">
        <v>2155.1509999999998</v>
      </c>
      <c r="G6" s="108">
        <v>1833.1949999999999</v>
      </c>
      <c r="H6" s="108">
        <v>1869.973</v>
      </c>
      <c r="I6" s="108">
        <v>1950.703</v>
      </c>
      <c r="J6" s="108">
        <v>2075.8560000000002</v>
      </c>
      <c r="K6" s="108">
        <v>2001.44</v>
      </c>
      <c r="L6" s="118"/>
      <c r="N6" s="3"/>
    </row>
    <row r="7" spans="1:19" x14ac:dyDescent="0.3">
      <c r="A7" s="15" t="s">
        <v>142</v>
      </c>
      <c r="B7" s="108">
        <v>1434.2860000000001</v>
      </c>
      <c r="C7" s="108">
        <v>1489.431</v>
      </c>
      <c r="D7" s="108">
        <v>1336.759</v>
      </c>
      <c r="E7" s="108">
        <v>1362.28</v>
      </c>
      <c r="F7" s="108">
        <v>1379.098</v>
      </c>
      <c r="G7" s="108">
        <v>1199.6880000000001</v>
      </c>
      <c r="H7" s="108">
        <v>1238.01</v>
      </c>
      <c r="I7" s="108">
        <v>1317.104</v>
      </c>
      <c r="J7" s="108">
        <v>1427.5329999999999</v>
      </c>
      <c r="K7" s="108">
        <v>1397.87</v>
      </c>
      <c r="L7" s="118"/>
      <c r="N7" s="3"/>
    </row>
    <row r="8" spans="1:19" x14ac:dyDescent="0.3">
      <c r="A8" s="15" t="s">
        <v>143</v>
      </c>
      <c r="B8" s="108">
        <v>848.13300000000004</v>
      </c>
      <c r="C8" s="108">
        <v>904.91499999999996</v>
      </c>
      <c r="D8" s="108">
        <v>839.43600000000004</v>
      </c>
      <c r="E8" s="108">
        <v>877.19799999999998</v>
      </c>
      <c r="F8" s="108">
        <v>892.39700000000005</v>
      </c>
      <c r="G8" s="108">
        <v>765.65</v>
      </c>
      <c r="H8" s="108">
        <v>783.85199999999998</v>
      </c>
      <c r="I8" s="108">
        <v>833.57500000000005</v>
      </c>
      <c r="J8" s="108">
        <v>914.51900000000001</v>
      </c>
      <c r="K8" s="108">
        <v>902.35500000000002</v>
      </c>
      <c r="L8" s="118"/>
      <c r="N8" s="3"/>
    </row>
    <row r="9" spans="1:19" x14ac:dyDescent="0.3">
      <c r="A9" s="15" t="s">
        <v>144</v>
      </c>
      <c r="B9" s="108">
        <v>583.053</v>
      </c>
      <c r="C9" s="108">
        <v>699.67</v>
      </c>
      <c r="D9" s="108">
        <v>667.89</v>
      </c>
      <c r="E9" s="108">
        <v>688.74699999999996</v>
      </c>
      <c r="F9" s="108">
        <v>709.49599999999998</v>
      </c>
      <c r="G9" s="108">
        <v>679.721</v>
      </c>
      <c r="H9" s="108">
        <v>670.24699999999996</v>
      </c>
      <c r="I9" s="108">
        <v>680.029</v>
      </c>
      <c r="J9" s="108">
        <v>705.54600000000005</v>
      </c>
      <c r="K9" s="108">
        <v>715.36</v>
      </c>
      <c r="L9" s="118"/>
      <c r="N9" s="3"/>
    </row>
    <row r="10" spans="1:19" x14ac:dyDescent="0.3">
      <c r="A10" s="15" t="s">
        <v>145</v>
      </c>
      <c r="B10" s="108">
        <v>479.161</v>
      </c>
      <c r="C10" s="108">
        <v>528.57100000000003</v>
      </c>
      <c r="D10" s="108">
        <v>500.846</v>
      </c>
      <c r="E10" s="108">
        <v>524.399</v>
      </c>
      <c r="F10" s="108">
        <v>545.28399999999999</v>
      </c>
      <c r="G10" s="108">
        <v>477.56799999999998</v>
      </c>
      <c r="H10" s="108">
        <v>471.84300000000002</v>
      </c>
      <c r="I10" s="108">
        <v>526.74900000000002</v>
      </c>
      <c r="J10" s="108">
        <v>585.81600000000003</v>
      </c>
      <c r="K10" s="108">
        <v>565.85400000000004</v>
      </c>
      <c r="L10" s="118"/>
      <c r="N10" s="3"/>
    </row>
    <row r="11" spans="1:19" x14ac:dyDescent="0.3">
      <c r="A11" s="15" t="s">
        <v>146</v>
      </c>
      <c r="B11" s="108">
        <v>488.90899999999999</v>
      </c>
      <c r="C11" s="108">
        <v>563.79700000000003</v>
      </c>
      <c r="D11" s="108">
        <v>544.48199999999997</v>
      </c>
      <c r="E11" s="108">
        <v>579.36099999999999</v>
      </c>
      <c r="F11" s="108">
        <v>574.41300000000001</v>
      </c>
      <c r="G11" s="108">
        <v>498.11799999999999</v>
      </c>
      <c r="H11" s="108">
        <v>512.20500000000004</v>
      </c>
      <c r="I11" s="108">
        <v>540.54499999999996</v>
      </c>
      <c r="J11" s="108">
        <v>556.07299999999998</v>
      </c>
      <c r="K11" s="108">
        <v>528.92899999999997</v>
      </c>
      <c r="L11" s="118"/>
      <c r="N11" s="3"/>
    </row>
    <row r="12" spans="1:19" x14ac:dyDescent="0.3">
      <c r="A12" s="15" t="s">
        <v>147</v>
      </c>
      <c r="B12" s="108">
        <v>484.45</v>
      </c>
      <c r="C12" s="108">
        <v>527.49199999999996</v>
      </c>
      <c r="D12" s="108">
        <v>498.161</v>
      </c>
      <c r="E12" s="108">
        <v>521.09</v>
      </c>
      <c r="F12" s="108">
        <v>531.65099999999995</v>
      </c>
      <c r="G12" s="108">
        <v>456.06700000000001</v>
      </c>
      <c r="H12" s="108">
        <v>469.93099999999998</v>
      </c>
      <c r="I12" s="108">
        <v>495.95299999999997</v>
      </c>
      <c r="J12" s="108">
        <v>532.26800000000003</v>
      </c>
      <c r="K12" s="108">
        <v>517.60900000000004</v>
      </c>
      <c r="L12" s="118"/>
      <c r="N12" s="3"/>
    </row>
    <row r="13" spans="1:19" x14ac:dyDescent="0.3">
      <c r="A13" s="15" t="s">
        <v>148</v>
      </c>
      <c r="B13" s="108">
        <v>392.62299999999999</v>
      </c>
      <c r="C13" s="108">
        <v>431.51499999999999</v>
      </c>
      <c r="D13" s="108">
        <v>409.65199999999999</v>
      </c>
      <c r="E13" s="108">
        <v>430.20299999999997</v>
      </c>
      <c r="F13" s="108">
        <v>442.69799999999998</v>
      </c>
      <c r="G13" s="108">
        <v>381.99799999999999</v>
      </c>
      <c r="H13" s="108">
        <v>394.21499999999997</v>
      </c>
      <c r="I13" s="108">
        <v>417.721</v>
      </c>
      <c r="J13" s="108">
        <v>456.166</v>
      </c>
      <c r="K13" s="108">
        <v>447.71800000000002</v>
      </c>
      <c r="L13" s="118"/>
      <c r="N13" s="3"/>
    </row>
    <row r="14" spans="1:19" x14ac:dyDescent="0.3">
      <c r="A14" s="15" t="s">
        <v>149</v>
      </c>
      <c r="B14" s="108">
        <v>429.13099999999997</v>
      </c>
      <c r="C14" s="108">
        <v>498.83199999999999</v>
      </c>
      <c r="D14" s="108">
        <v>510.22899999999998</v>
      </c>
      <c r="E14" s="108">
        <v>523.50199999999995</v>
      </c>
      <c r="F14" s="108">
        <v>499.33800000000002</v>
      </c>
      <c r="G14" s="108">
        <v>386.66300000000001</v>
      </c>
      <c r="H14" s="108">
        <v>371.34500000000003</v>
      </c>
      <c r="I14" s="108">
        <v>398.39400000000001</v>
      </c>
      <c r="J14" s="108">
        <v>434.16699999999997</v>
      </c>
      <c r="K14" s="108">
        <v>417.62700000000001</v>
      </c>
      <c r="L14" s="118"/>
      <c r="N14" s="3"/>
    </row>
    <row r="15" spans="1:19" x14ac:dyDescent="0.3">
      <c r="A15" s="15" t="s">
        <v>150</v>
      </c>
      <c r="B15" s="108">
        <v>222.53299999999999</v>
      </c>
      <c r="C15" s="108">
        <v>238.08799999999999</v>
      </c>
      <c r="D15" s="108">
        <v>225.14</v>
      </c>
      <c r="E15" s="108">
        <v>238.708</v>
      </c>
      <c r="F15" s="108">
        <v>259.2</v>
      </c>
      <c r="G15" s="108">
        <v>290.858</v>
      </c>
      <c r="H15" s="108">
        <v>301.96800000000002</v>
      </c>
      <c r="I15" s="108">
        <v>335.21100000000001</v>
      </c>
      <c r="J15" s="108">
        <v>382.75400000000002</v>
      </c>
      <c r="K15" s="108">
        <v>384.94</v>
      </c>
      <c r="L15" s="118"/>
      <c r="N15" s="3"/>
    </row>
    <row r="16" spans="1:19" x14ac:dyDescent="0.3">
      <c r="A16" s="15" t="s">
        <v>151</v>
      </c>
      <c r="B16" s="108">
        <v>321.995</v>
      </c>
      <c r="C16" s="108">
        <v>344.00299999999999</v>
      </c>
      <c r="D16" s="108">
        <v>327.149</v>
      </c>
      <c r="E16" s="108">
        <v>343.584</v>
      </c>
      <c r="F16" s="108">
        <v>352.99400000000003</v>
      </c>
      <c r="G16" s="108">
        <v>302.673</v>
      </c>
      <c r="H16" s="108">
        <v>311.988</v>
      </c>
      <c r="I16" s="108">
        <v>329.86599999999999</v>
      </c>
      <c r="J16" s="108">
        <v>352.05799999999999</v>
      </c>
      <c r="K16" s="108">
        <v>347.17599999999999</v>
      </c>
      <c r="L16" s="118"/>
      <c r="N16" s="3"/>
    </row>
    <row r="17" spans="1:14" x14ac:dyDescent="0.3">
      <c r="A17" s="15" t="s">
        <v>152</v>
      </c>
      <c r="B17" s="108">
        <v>248.262</v>
      </c>
      <c r="C17" s="108">
        <v>273.92500000000001</v>
      </c>
      <c r="D17" s="108">
        <v>256.84899999999999</v>
      </c>
      <c r="E17" s="108">
        <v>270.065</v>
      </c>
      <c r="F17" s="108">
        <v>273.04199999999997</v>
      </c>
      <c r="G17" s="108">
        <v>232.58199999999999</v>
      </c>
      <c r="H17" s="108">
        <v>239.15</v>
      </c>
      <c r="I17" s="108">
        <v>252.86699999999999</v>
      </c>
      <c r="J17" s="108">
        <v>274.20999999999998</v>
      </c>
      <c r="K17" s="108">
        <v>269.654</v>
      </c>
      <c r="L17" s="118"/>
      <c r="N17" s="3"/>
    </row>
    <row r="18" spans="1:14" x14ac:dyDescent="0.3">
      <c r="A18" s="15" t="s">
        <v>153</v>
      </c>
      <c r="B18" s="108">
        <v>207.47800000000001</v>
      </c>
      <c r="C18" s="108">
        <v>227.94800000000001</v>
      </c>
      <c r="D18" s="108">
        <v>207.376</v>
      </c>
      <c r="E18" s="108">
        <v>209.40199999999999</v>
      </c>
      <c r="F18" s="108">
        <v>207.81800000000001</v>
      </c>
      <c r="G18" s="108">
        <v>186.83</v>
      </c>
      <c r="H18" s="108">
        <v>195.09</v>
      </c>
      <c r="I18" s="108">
        <v>215.91399999999999</v>
      </c>
      <c r="J18" s="108">
        <v>245.226</v>
      </c>
      <c r="K18" s="108">
        <v>246.953</v>
      </c>
      <c r="L18" s="118"/>
      <c r="N18" s="3"/>
    </row>
    <row r="19" spans="1:14" x14ac:dyDescent="0.3">
      <c r="A19" s="15" t="s">
        <v>154</v>
      </c>
      <c r="B19" s="108">
        <v>238.74799999999999</v>
      </c>
      <c r="C19" s="108">
        <v>245.119</v>
      </c>
      <c r="D19" s="108">
        <v>216.488</v>
      </c>
      <c r="E19" s="108">
        <v>226.14400000000001</v>
      </c>
      <c r="F19" s="108">
        <v>229.995</v>
      </c>
      <c r="G19" s="108">
        <v>199.52099999999999</v>
      </c>
      <c r="H19" s="108">
        <v>206.36099999999999</v>
      </c>
      <c r="I19" s="108">
        <v>221.28</v>
      </c>
      <c r="J19" s="108">
        <v>240.90100000000001</v>
      </c>
      <c r="K19" s="108">
        <v>236.40799999999999</v>
      </c>
      <c r="L19" s="118"/>
      <c r="N19" s="3"/>
    </row>
    <row r="20" spans="1:14" x14ac:dyDescent="0.3">
      <c r="A20" s="15" t="s">
        <v>155</v>
      </c>
      <c r="B20" s="108">
        <v>166.22499999999999</v>
      </c>
      <c r="C20" s="108">
        <v>183.44300000000001</v>
      </c>
      <c r="D20" s="108">
        <v>171.196</v>
      </c>
      <c r="E20" s="108">
        <v>190.94800000000001</v>
      </c>
      <c r="F20" s="108">
        <v>199.62799999999999</v>
      </c>
      <c r="G20" s="108">
        <v>177.89500000000001</v>
      </c>
      <c r="H20" s="108">
        <v>188.495</v>
      </c>
      <c r="I20" s="108">
        <v>211.40700000000001</v>
      </c>
      <c r="J20" s="108">
        <v>239.55199999999999</v>
      </c>
      <c r="K20" s="108">
        <v>243.69800000000001</v>
      </c>
      <c r="L20" s="118"/>
      <c r="N20" s="3"/>
    </row>
    <row r="21" spans="1:14" x14ac:dyDescent="0.3">
      <c r="A21" s="15" t="s">
        <v>156</v>
      </c>
      <c r="B21" s="108">
        <v>299.91899999999998</v>
      </c>
      <c r="C21" s="108">
        <v>288.06200000000001</v>
      </c>
      <c r="D21" s="108">
        <v>245.80699999999999</v>
      </c>
      <c r="E21" s="108">
        <v>239.93700000000001</v>
      </c>
      <c r="F21" s="108">
        <v>237.40600000000001</v>
      </c>
      <c r="G21" s="108">
        <v>196.69</v>
      </c>
      <c r="H21" s="108">
        <v>195.303</v>
      </c>
      <c r="I21" s="108">
        <v>203.49299999999999</v>
      </c>
      <c r="J21" s="108">
        <v>218.23</v>
      </c>
      <c r="K21" s="108">
        <v>214.012</v>
      </c>
      <c r="L21" s="118"/>
      <c r="N21" s="3"/>
    </row>
    <row r="22" spans="1:14" x14ac:dyDescent="0.3">
      <c r="A22" s="15" t="s">
        <v>157</v>
      </c>
      <c r="B22" s="108">
        <v>130.923</v>
      </c>
      <c r="C22" s="108">
        <v>140.78200000000001</v>
      </c>
      <c r="D22" s="108">
        <v>127.857</v>
      </c>
      <c r="E22" s="108">
        <v>135.221</v>
      </c>
      <c r="F22" s="108">
        <v>140.083</v>
      </c>
      <c r="G22" s="108">
        <v>123.074</v>
      </c>
      <c r="H22" s="108">
        <v>126.008</v>
      </c>
      <c r="I22" s="108">
        <v>139.84399999999999</v>
      </c>
      <c r="J22" s="108">
        <v>161.18199999999999</v>
      </c>
      <c r="K22" s="108">
        <v>170.40700000000001</v>
      </c>
      <c r="L22" s="118"/>
      <c r="N22" s="3"/>
    </row>
    <row r="23" spans="1:14" x14ac:dyDescent="0.3">
      <c r="A23" s="15" t="s">
        <v>158</v>
      </c>
      <c r="B23" s="108">
        <v>89.668000000000006</v>
      </c>
      <c r="C23" s="108">
        <v>98.271000000000001</v>
      </c>
      <c r="D23" s="108">
        <v>93.465999999999994</v>
      </c>
      <c r="E23" s="108">
        <v>98.509</v>
      </c>
      <c r="F23" s="108">
        <v>101.10899999999999</v>
      </c>
      <c r="G23" s="108">
        <v>87.813999999999993</v>
      </c>
      <c r="H23" s="108">
        <v>89.885000000000005</v>
      </c>
      <c r="I23" s="108">
        <v>95.820999999999998</v>
      </c>
      <c r="J23" s="108">
        <v>106.57299999999999</v>
      </c>
      <c r="K23" s="108">
        <v>106.55200000000001</v>
      </c>
      <c r="L23" s="118"/>
      <c r="N23" s="3"/>
    </row>
    <row r="24" spans="1:14" x14ac:dyDescent="0.3">
      <c r="A24" s="15" t="s">
        <v>159</v>
      </c>
      <c r="B24" s="108">
        <v>53.311999999999998</v>
      </c>
      <c r="C24" s="108">
        <v>60.06</v>
      </c>
      <c r="D24" s="108">
        <v>56.709000000000003</v>
      </c>
      <c r="E24" s="108">
        <v>61.759</v>
      </c>
      <c r="F24" s="108">
        <v>66.209000000000003</v>
      </c>
      <c r="G24" s="108">
        <v>57.232999999999997</v>
      </c>
      <c r="H24" s="108">
        <v>58.984999999999999</v>
      </c>
      <c r="I24" s="108">
        <v>62.448999999999998</v>
      </c>
      <c r="J24" s="108">
        <v>69.552999999999997</v>
      </c>
      <c r="K24" s="108">
        <v>69.453000000000003</v>
      </c>
      <c r="L24" s="118"/>
      <c r="N24" s="3"/>
    </row>
    <row r="25" spans="1:14" x14ac:dyDescent="0.3">
      <c r="A25" s="15" t="s">
        <v>160</v>
      </c>
      <c r="B25" s="108">
        <v>50.610999999999997</v>
      </c>
      <c r="C25" s="108">
        <v>57.42</v>
      </c>
      <c r="D25" s="108">
        <v>53.901000000000003</v>
      </c>
      <c r="E25" s="108">
        <v>55.557000000000002</v>
      </c>
      <c r="F25" s="108">
        <v>56.814999999999998</v>
      </c>
      <c r="G25" s="108">
        <v>50.201000000000001</v>
      </c>
      <c r="H25" s="108">
        <v>53.235999999999997</v>
      </c>
      <c r="I25" s="108">
        <v>58.341999999999999</v>
      </c>
      <c r="J25" s="108">
        <v>65.197000000000003</v>
      </c>
      <c r="K25" s="108">
        <v>66.25</v>
      </c>
      <c r="L25" s="118"/>
      <c r="N25" s="3"/>
    </row>
    <row r="26" spans="1:14" x14ac:dyDescent="0.3">
      <c r="A26" s="15" t="s">
        <v>161</v>
      </c>
      <c r="B26" s="108">
        <v>59.866</v>
      </c>
      <c r="C26" s="108">
        <v>62.399000000000001</v>
      </c>
      <c r="D26" s="108">
        <v>56.548999999999999</v>
      </c>
      <c r="E26" s="108">
        <v>58.158000000000001</v>
      </c>
      <c r="F26" s="108">
        <v>57.683</v>
      </c>
      <c r="G26" s="108">
        <v>49.518999999999998</v>
      </c>
      <c r="H26" s="108">
        <v>51.622999999999998</v>
      </c>
      <c r="I26" s="108">
        <v>55.201000000000001</v>
      </c>
      <c r="J26" s="108">
        <v>60.805</v>
      </c>
      <c r="K26" s="108">
        <v>60.701999999999998</v>
      </c>
      <c r="L26" s="118"/>
      <c r="N26" s="3"/>
    </row>
    <row r="27" spans="1:14" x14ac:dyDescent="0.3">
      <c r="A27" s="15" t="s">
        <v>162</v>
      </c>
      <c r="B27" s="108">
        <v>48.103000000000002</v>
      </c>
      <c r="C27" s="108">
        <v>51.338000000000001</v>
      </c>
      <c r="D27" s="108">
        <v>46.378</v>
      </c>
      <c r="E27" s="108">
        <v>48.131</v>
      </c>
      <c r="F27" s="108">
        <v>49.969000000000001</v>
      </c>
      <c r="G27" s="108">
        <v>43.124000000000002</v>
      </c>
      <c r="H27" s="108">
        <v>44.66</v>
      </c>
      <c r="I27" s="108">
        <v>48.545000000000002</v>
      </c>
      <c r="J27" s="108">
        <v>54.058999999999997</v>
      </c>
      <c r="K27" s="108">
        <v>54.154000000000003</v>
      </c>
      <c r="L27" s="118"/>
      <c r="N27" s="3"/>
    </row>
    <row r="28" spans="1:14" x14ac:dyDescent="0.3">
      <c r="A28" s="15" t="s">
        <v>163</v>
      </c>
      <c r="B28" s="108">
        <v>37.200000000000003</v>
      </c>
      <c r="C28" s="108">
        <v>43.564</v>
      </c>
      <c r="D28" s="108">
        <v>42.887</v>
      </c>
      <c r="E28" s="108">
        <v>46.423000000000002</v>
      </c>
      <c r="F28" s="108">
        <v>48.631999999999998</v>
      </c>
      <c r="G28" s="108">
        <v>41.537999999999997</v>
      </c>
      <c r="H28" s="108">
        <v>42.991</v>
      </c>
      <c r="I28" s="108">
        <v>47.645000000000003</v>
      </c>
      <c r="J28" s="108">
        <v>53.302</v>
      </c>
      <c r="K28" s="108">
        <v>53.640999999999998</v>
      </c>
      <c r="L28" s="118"/>
      <c r="N28" s="3"/>
    </row>
    <row r="29" spans="1:14" x14ac:dyDescent="0.3">
      <c r="A29" s="15" t="s">
        <v>164</v>
      </c>
      <c r="B29" s="108">
        <v>23.809000000000001</v>
      </c>
      <c r="C29" s="108">
        <v>28.495999999999999</v>
      </c>
      <c r="D29" s="108">
        <v>28.140999999999998</v>
      </c>
      <c r="E29" s="108">
        <v>30.26</v>
      </c>
      <c r="F29" s="108">
        <v>31.385000000000002</v>
      </c>
      <c r="G29" s="108">
        <v>26.986000000000001</v>
      </c>
      <c r="H29" s="108">
        <v>27.707000000000001</v>
      </c>
      <c r="I29" s="108">
        <v>30.527999999999999</v>
      </c>
      <c r="J29" s="108">
        <v>34.881999999999998</v>
      </c>
      <c r="K29" s="108">
        <v>35.045000000000002</v>
      </c>
      <c r="L29" s="118"/>
      <c r="N29" s="3"/>
    </row>
    <row r="30" spans="1:14" x14ac:dyDescent="0.3">
      <c r="A30" s="15" t="s">
        <v>165</v>
      </c>
      <c r="B30" s="108">
        <v>19.536000000000001</v>
      </c>
      <c r="C30" s="108">
        <v>23.190999999999999</v>
      </c>
      <c r="D30" s="108">
        <v>23.056999999999999</v>
      </c>
      <c r="E30" s="108">
        <v>25.145</v>
      </c>
      <c r="F30" s="108">
        <v>26.658000000000001</v>
      </c>
      <c r="G30" s="108">
        <v>22.916</v>
      </c>
      <c r="H30" s="108">
        <v>23.994</v>
      </c>
      <c r="I30" s="108">
        <v>26.85</v>
      </c>
      <c r="J30" s="108">
        <v>30.760999999999999</v>
      </c>
      <c r="K30" s="108">
        <v>31.038</v>
      </c>
      <c r="L30" s="118"/>
      <c r="N30" s="3"/>
    </row>
    <row r="31" spans="1:14" x14ac:dyDescent="0.3">
      <c r="A31" s="15" t="s">
        <v>166</v>
      </c>
      <c r="B31" s="108">
        <v>13.683999999999999</v>
      </c>
      <c r="C31" s="108">
        <v>15.159000000000001</v>
      </c>
      <c r="D31" s="108">
        <v>14.724</v>
      </c>
      <c r="E31" s="108">
        <v>16.033999999999999</v>
      </c>
      <c r="F31" s="108">
        <v>17.757999999999999</v>
      </c>
      <c r="G31" s="108">
        <v>17.388999999999999</v>
      </c>
      <c r="H31" s="108">
        <v>20.617999999999999</v>
      </c>
      <c r="I31" s="108">
        <v>24.457000000000001</v>
      </c>
      <c r="J31" s="108">
        <v>25.965</v>
      </c>
      <c r="K31" s="108">
        <v>23.917999999999999</v>
      </c>
      <c r="L31" s="118"/>
      <c r="N31" s="3"/>
    </row>
    <row r="32" spans="1:14" x14ac:dyDescent="0.3">
      <c r="A32" s="15" t="s">
        <v>167</v>
      </c>
      <c r="B32" s="108">
        <v>25.608000000000001</v>
      </c>
      <c r="C32" s="108">
        <v>27.454000000000001</v>
      </c>
      <c r="D32" s="108">
        <v>25.055</v>
      </c>
      <c r="E32" s="108">
        <v>24.094000000000001</v>
      </c>
      <c r="F32" s="108">
        <v>23.401</v>
      </c>
      <c r="G32" s="108">
        <v>19.690999999999999</v>
      </c>
      <c r="H32" s="108">
        <v>20.460999999999999</v>
      </c>
      <c r="I32" s="108">
        <v>22.189</v>
      </c>
      <c r="J32" s="108">
        <v>24.492999999999999</v>
      </c>
      <c r="K32" s="108">
        <v>24.28</v>
      </c>
      <c r="L32" s="118"/>
      <c r="N32" s="3"/>
    </row>
    <row r="33" spans="1:14" x14ac:dyDescent="0.3">
      <c r="A33" s="15" t="s">
        <v>168</v>
      </c>
      <c r="B33" s="108">
        <v>8.7569999999999997</v>
      </c>
      <c r="C33" s="108">
        <v>9.5109999999999992</v>
      </c>
      <c r="D33" s="108">
        <v>9.2149999999999999</v>
      </c>
      <c r="E33" s="108">
        <v>10.154</v>
      </c>
      <c r="F33" s="108">
        <v>11.302</v>
      </c>
      <c r="G33" s="108">
        <v>10.701000000000001</v>
      </c>
      <c r="H33" s="108">
        <v>11.446</v>
      </c>
      <c r="I33" s="108">
        <v>12.763999999999999</v>
      </c>
      <c r="J33" s="108">
        <v>14.56</v>
      </c>
      <c r="K33" s="108">
        <v>14.859</v>
      </c>
      <c r="L33" s="118"/>
      <c r="N33" s="3"/>
    </row>
    <row r="34" spans="1:14" x14ac:dyDescent="0.3">
      <c r="A34" s="116" t="s">
        <v>209</v>
      </c>
      <c r="B34" s="117"/>
      <c r="C34" s="117"/>
      <c r="D34" s="117"/>
      <c r="E34" s="117"/>
      <c r="F34" s="117"/>
      <c r="G34" s="117"/>
      <c r="H34" s="117"/>
      <c r="I34" s="117"/>
      <c r="J34" s="117">
        <v>17</v>
      </c>
      <c r="K34" s="117">
        <v>17</v>
      </c>
      <c r="L34" s="119"/>
      <c r="N34" s="3"/>
    </row>
    <row r="35" spans="1:14" s="106" customFormat="1" x14ac:dyDescent="0.3">
      <c r="A35" s="111" t="s">
        <v>305</v>
      </c>
      <c r="B35" s="107"/>
      <c r="C35" s="107"/>
      <c r="D35" s="107"/>
      <c r="E35" s="107"/>
      <c r="F35" s="107"/>
      <c r="G35" s="107"/>
      <c r="H35" s="107"/>
      <c r="I35" s="107"/>
      <c r="J35" s="113">
        <f>SUM(J3:J34)-J9-J14</f>
        <v>18779.819000000007</v>
      </c>
      <c r="K35" s="113">
        <f>SUM(K3:K34)-K9-K14</f>
        <v>18345.918999999998</v>
      </c>
      <c r="L35" s="120">
        <f>K35/K37</f>
        <v>0.2184037976190476</v>
      </c>
      <c r="N35" s="112"/>
    </row>
    <row r="36" spans="1:14" s="106" customFormat="1" x14ac:dyDescent="0.3">
      <c r="A36" s="111" t="s">
        <v>210</v>
      </c>
      <c r="B36" s="107"/>
      <c r="C36" s="107"/>
      <c r="D36" s="107"/>
      <c r="E36" s="107"/>
      <c r="F36" s="107"/>
      <c r="G36" s="107"/>
      <c r="H36" s="107"/>
      <c r="I36" s="107"/>
      <c r="J36" s="113">
        <f>SUM(J3:J34)-J4-J26</f>
        <v>17029.894000000008</v>
      </c>
      <c r="K36" s="113">
        <f>SUM(K3:K34)-K4-K26</f>
        <v>16674.617999999999</v>
      </c>
      <c r="L36" s="120">
        <f>K36/K37</f>
        <v>0.19850735714285714</v>
      </c>
      <c r="M36" s="112">
        <f>L36</f>
        <v>0.19850735714285714</v>
      </c>
      <c r="N36" s="112"/>
    </row>
    <row r="37" spans="1:14" x14ac:dyDescent="0.3">
      <c r="A37" s="46" t="s">
        <v>211</v>
      </c>
      <c r="J37" s="114"/>
      <c r="K37" s="115">
        <v>84000</v>
      </c>
      <c r="L37" s="121"/>
      <c r="N37" s="3"/>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emplate/>
  <TotalTime>383</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Energy</vt:lpstr>
      <vt:lpstr>Extra info.</vt:lpstr>
      <vt:lpstr>GDP EU</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Pierre Strack</dc:creator>
  <dc:description/>
  <cp:lastModifiedBy>Strack, Peter</cp:lastModifiedBy>
  <cp:revision>60</cp:revision>
  <cp:lastPrinted>2023-01-31T22:19:18Z</cp:lastPrinted>
  <dcterms:created xsi:type="dcterms:W3CDTF">2020-07-29T18:37:06Z</dcterms:created>
  <dcterms:modified xsi:type="dcterms:W3CDTF">2023-08-09T12:44:56Z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