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es documents\Livre_Books\SiteInternet\"/>
    </mc:Choice>
  </mc:AlternateContent>
  <bookViews>
    <workbookView xWindow="0" yWindow="0" windowWidth="20940" windowHeight="12012" tabRatio="500"/>
  </bookViews>
  <sheets>
    <sheet name="Calculs énergie" sheetId="1" r:id="rId1"/>
    <sheet name="Info.complémentaire" sheetId="2" r:id="rId2"/>
    <sheet name="PIB UE" sheetId="3" r:id="rId3"/>
  </sheets>
  <calcPr calcId="152511"/>
  <customWorkbookViews>
    <customWorkbookView name="Strack, Peter - Affichage personnalisé" guid="{4E8A5815-7803-4D13-9EE1-C2199B052AAC}" mergeInterval="0" personalView="1" xWindow="42" yWindow="39" windowWidth="1900" windowHeight="1316" tabRatio="500" activeSheetId="1" showComments="commIndAndComment"/>
  </customWorkbookViews>
</workbook>
</file>

<file path=xl/calcChain.xml><?xml version="1.0" encoding="utf-8"?>
<calcChain xmlns="http://schemas.openxmlformats.org/spreadsheetml/2006/main">
  <c r="E115" i="2" l="1"/>
  <c r="D114" i="2"/>
  <c r="D113" i="2"/>
  <c r="C113" i="2"/>
  <c r="O9" i="3" l="1"/>
  <c r="O3" i="3"/>
  <c r="B122" i="2" l="1"/>
  <c r="B119" i="2"/>
  <c r="E122" i="2" s="1"/>
  <c r="C120" i="2"/>
  <c r="R2" i="3" l="1"/>
  <c r="L3" i="3" l="1"/>
  <c r="L9" i="3" l="1"/>
  <c r="D97" i="2" l="1"/>
  <c r="D103" i="2" l="1"/>
  <c r="C105" i="2" s="1"/>
  <c r="B98" i="2" l="1"/>
  <c r="C97" i="2"/>
  <c r="C100" i="2" s="1"/>
  <c r="D92" i="2" l="1"/>
  <c r="B92" i="2"/>
  <c r="D33" i="2" l="1"/>
  <c r="C33" i="2"/>
  <c r="L36" i="3" l="1"/>
  <c r="M36" i="3"/>
  <c r="K36" i="3"/>
  <c r="D55" i="1" l="1"/>
  <c r="E55" i="1" s="1"/>
  <c r="J36" i="3"/>
  <c r="J35" i="3"/>
  <c r="K35" i="3"/>
  <c r="E56" i="1" l="1"/>
  <c r="E58" i="1"/>
  <c r="L35" i="3"/>
  <c r="C77" i="2" l="1"/>
  <c r="C80" i="2" s="1"/>
  <c r="F72" i="2" l="1"/>
  <c r="B70" i="2"/>
  <c r="D70" i="2" l="1"/>
  <c r="C113" i="1"/>
  <c r="C125" i="1" l="1"/>
  <c r="C126" i="1" l="1"/>
  <c r="D125" i="1"/>
  <c r="B29" i="2"/>
  <c r="B108" i="1" l="1"/>
  <c r="B109" i="1"/>
  <c r="D109" i="1" l="1"/>
  <c r="D107" i="1"/>
  <c r="F107" i="1" s="1"/>
  <c r="F106" i="1"/>
  <c r="G106" i="1" s="1"/>
  <c r="G109" i="1" l="1"/>
  <c r="G41" i="2" l="1"/>
  <c r="F74" i="1" l="1"/>
  <c r="F72" i="1"/>
  <c r="F73" i="1"/>
  <c r="E62" i="1"/>
  <c r="E63" i="1"/>
  <c r="E64" i="1"/>
  <c r="E65" i="1"/>
  <c r="E66" i="1"/>
  <c r="E67" i="1"/>
  <c r="B68" i="1" l="1"/>
  <c r="F75" i="1"/>
  <c r="E54" i="1" s="1"/>
  <c r="E44" i="1" l="1"/>
  <c r="C32" i="1"/>
  <c r="D32" i="1" s="1"/>
  <c r="E31" i="1"/>
  <c r="E26" i="1"/>
  <c r="E25" i="1"/>
  <c r="E24" i="1"/>
  <c r="E23" i="1"/>
  <c r="E22" i="1"/>
  <c r="E21" i="1"/>
  <c r="E15" i="1"/>
  <c r="C13" i="1"/>
  <c r="C12" i="1"/>
  <c r="D12" i="1" s="1"/>
  <c r="C11" i="1"/>
  <c r="D11" i="1" s="1"/>
  <c r="G40" i="2" s="1"/>
  <c r="C10" i="1"/>
  <c r="D10" i="1" s="1"/>
  <c r="C9" i="1"/>
  <c r="D9" i="1" l="1"/>
  <c r="E27" i="1"/>
  <c r="B13" i="1" s="1"/>
  <c r="D13" i="1" s="1"/>
  <c r="D14" i="1"/>
  <c r="C33" i="1"/>
  <c r="D33" i="1" s="1"/>
  <c r="D34" i="1" s="1"/>
  <c r="C14" i="1"/>
  <c r="D15" i="1" l="1"/>
  <c r="D113" i="1" l="1"/>
  <c r="D17" i="1"/>
  <c r="F76" i="1" s="1"/>
  <c r="D108" i="1" s="1"/>
  <c r="G108" i="1" s="1"/>
  <c r="C38" i="1"/>
  <c r="C40" i="1" l="1"/>
  <c r="F40" i="1" s="1"/>
  <c r="C49" i="1"/>
  <c r="C43" i="1"/>
  <c r="D43" i="1"/>
  <c r="C39" i="1"/>
  <c r="E40" i="1" l="1"/>
  <c r="C41" i="1"/>
  <c r="C42" i="1" s="1"/>
  <c r="E43" i="1"/>
  <c r="C51" i="1"/>
  <c r="E51" i="1" s="1"/>
  <c r="C50" i="1"/>
  <c r="E39" i="1"/>
  <c r="F39" i="1"/>
  <c r="E41" i="1" l="1"/>
  <c r="E42" i="1" s="1"/>
  <c r="E45" i="1" s="1"/>
  <c r="F78" i="1" s="1"/>
  <c r="F51" i="1"/>
  <c r="C52" i="1"/>
  <c r="C53" i="1" s="1"/>
  <c r="F50" i="1"/>
  <c r="E50" i="1"/>
  <c r="E52" i="1" s="1"/>
  <c r="E53" i="1" s="1"/>
  <c r="E57" i="1" s="1"/>
</calcChain>
</file>

<file path=xl/sharedStrings.xml><?xml version="1.0" encoding="utf-8"?>
<sst xmlns="http://schemas.openxmlformats.org/spreadsheetml/2006/main" count="440" uniqueCount="419">
  <si>
    <t>MW/km2</t>
  </si>
  <si>
    <t>prim/seco facteur</t>
  </si>
  <si>
    <t>Total fossile Twh</t>
  </si>
  <si>
    <t>Autres  industries (détails ci-après)</t>
  </si>
  <si>
    <t>Électricité à base d’énergie fossile</t>
  </si>
  <si>
    <t>Autres industries</t>
  </si>
  <si>
    <t>Facteur pondéré</t>
  </si>
  <si>
    <t>Industrie chimique</t>
  </si>
  <si>
    <t>www.iipinetwork.org/wp-content/Ietd/content/electric-arc-furnace.html</t>
  </si>
  <si>
    <t>Métaux non ferreux</t>
  </si>
  <si>
    <t>autres procédés utilisant énergie fossile</t>
  </si>
  <si>
    <t xml:space="preserve">«Autre industrie» facteur </t>
  </si>
  <si>
    <t>Production électricité total Twh 2019</t>
  </si>
  <si>
    <t>Fossiles 64%</t>
  </si>
  <si>
    <t>www.brighthubengineering.com/power-plants/72369-compare-the-efficiency-of-different-power-plants/</t>
  </si>
  <si>
    <t>nucléaire+hydro+renouvelables</t>
  </si>
  <si>
    <t>Total électricité secondaire TWh</t>
  </si>
  <si>
    <t>Capacité installée (TW)</t>
  </si>
  <si>
    <t>Invest. watt installé</t>
  </si>
  <si>
    <t>11000m²</t>
  </si>
  <si>
    <t>MW/éolienne</t>
  </si>
  <si>
    <t>Investissement stockage TWh</t>
  </si>
  <si>
    <t>Invest. Infrastructure 30 années</t>
  </si>
  <si>
    <t>Pertes pour stockage élec.renouv.</t>
  </si>
  <si>
    <t>Rendement estimé</t>
  </si>
  <si>
    <t>Durée de stockage</t>
  </si>
  <si>
    <t>% du stockage total</t>
  </si>
  <si>
    <t>Hydrogène dans réservoirs</t>
  </si>
  <si>
    <t>1 jour</t>
  </si>
  <si>
    <t>Pertes dans l’accu</t>
  </si>
  <si>
    <t>Pertes dans l’accu et par les 2 types d’onduleurs et l’accumulateur</t>
  </si>
  <si>
    <t>stockage mécanique ou autre</t>
  </si>
  <si>
    <t>https://energyvault.com/</t>
  </si>
  <si>
    <t>Rendement moyen</t>
  </si>
  <si>
    <t>nb heures</t>
  </si>
  <si>
    <t xml:space="preserve">Coût 2020 </t>
  </si>
  <si>
    <t xml:space="preserve">Coût 2050 </t>
  </si>
  <si>
    <t>Coût des accus ($/kWh)</t>
  </si>
  <si>
    <t>Coût régulation &amp; protection ($/kW)</t>
  </si>
  <si>
    <t>Coût stockage</t>
  </si>
  <si>
    <t>Notes</t>
  </si>
  <si>
    <t>Utilisation Bâtiments</t>
  </si>
  <si>
    <t>Construction (béton goudron)</t>
  </si>
  <si>
    <t>1600 milliards par an. Voir Economist, 23 mai 2020, page 50</t>
  </si>
  <si>
    <t>1MW crète</t>
  </si>
  <si>
    <t>https://atb.nrel.gov/electricity/2020/data.php</t>
  </si>
  <si>
    <t>Conversion des énergies primaires en énergies secondaires, avec les estimation des rendement pour quelques branches industrielles</t>
  </si>
  <si>
    <t>CAPEX Milliard euros</t>
  </si>
  <si>
    <t>Energie</t>
  </si>
  <si>
    <t>primaire TWh</t>
  </si>
  <si>
    <t>% finale consommée</t>
  </si>
  <si>
    <t>% par industrie</t>
  </si>
  <si>
    <t>crête / moyenne</t>
  </si>
  <si>
    <t>Invest. production renouvelables</t>
  </si>
  <si>
    <t>Invest. avec pertes pour stockage</t>
  </si>
  <si>
    <t>Surface km²  Nombre</t>
  </si>
  <si>
    <t xml:space="preserve">       </t>
  </si>
  <si>
    <t xml:space="preserve">     </t>
  </si>
  <si>
    <t>Moyens et coût de Stockage (7)</t>
  </si>
  <si>
    <t>Commentaire</t>
  </si>
  <si>
    <t>pour 1 MW crête</t>
  </si>
  <si>
    <t>Source / Commentaire</t>
  </si>
  <si>
    <t>Installation renouvelables TWh 24h/24h</t>
  </si>
  <si>
    <t>30-150 j.</t>
  </si>
  <si>
    <t>CAPEX total monde (milliards €)</t>
  </si>
  <si>
    <t>CAPEX Union Européenne (milliards €)</t>
  </si>
  <si>
    <t>Total secondaire à remplacer par an</t>
  </si>
  <si>
    <t>Installation renouvelables TW 24h/24h</t>
  </si>
  <si>
    <t>CAPEX Total monde (milliards €)</t>
  </si>
  <si>
    <t>Bâtiments</t>
  </si>
  <si>
    <t>pourcentage</t>
  </si>
  <si>
    <t>transport routier</t>
  </si>
  <si>
    <t>transport maritime</t>
  </si>
  <si>
    <t>transport avion</t>
  </si>
  <si>
    <t>industrie acier</t>
  </si>
  <si>
    <t>chimie &amp; pétrochimie</t>
  </si>
  <si>
    <t>ciment</t>
  </si>
  <si>
    <t>(Economist sept.19th 2020 "World source institute")</t>
  </si>
  <si>
    <t>Régions</t>
  </si>
  <si>
    <t>Chine</t>
  </si>
  <si>
    <t>Etats Unis</t>
  </si>
  <si>
    <t>Union Européenne</t>
  </si>
  <si>
    <t>Indes</t>
  </si>
  <si>
    <t xml:space="preserve">Transfert de pompage d’eau </t>
  </si>
  <si>
    <t>pondéré</t>
  </si>
  <si>
    <t>http://www.hubspeicher.de/kostenbeispiele.htm</t>
  </si>
  <si>
    <t>Nouveaux barrages: rendement avec un demarrage par jour</t>
  </si>
  <si>
    <r>
      <rPr>
        <b/>
        <sz val="11"/>
        <color rgb="FF000000"/>
        <rFont val="Calibri"/>
        <family val="2"/>
      </rPr>
      <t xml:space="preserve">(2) </t>
    </r>
    <r>
      <rPr>
        <sz val="11"/>
        <color rgb="FF000000"/>
        <rFont val="Calibri"/>
        <family val="2"/>
      </rPr>
      <t>Sans énergies fossiles, fabriquer des céramiques, du verre, de la porcelaine, briques,… a besoin de températures supérieur égal à 900°C, qui peuvent être atteint avec de l’hydrogène qui est produit avec un rendement de 60%. Ce mauvais rendement annule partiellement les gains fait ailleurs.</t>
    </r>
  </si>
  <si>
    <t>Autres investissements d'énergie</t>
  </si>
  <si>
    <t>Capacité (TWh)</t>
  </si>
  <si>
    <t>CAPEX  milliard euros</t>
  </si>
  <si>
    <t>Electrolyseur hydrogène pour transport</t>
  </si>
  <si>
    <t>CAPEX 2030 €/kW</t>
  </si>
  <si>
    <t>CAPEX 2050 €/kW</t>
  </si>
  <si>
    <t>Electrolyseur hydrogène pour stockage</t>
  </si>
  <si>
    <t>CAPEX d'après estimation de l'institut Fraunhofer en 2019: 2000€/Nm3/h</t>
  </si>
  <si>
    <t>kWh</t>
  </si>
  <si>
    <t>1kg de H2 dans pile à combustible</t>
  </si>
  <si>
    <t>fonctionne h par an</t>
  </si>
  <si>
    <t>CAPEX €/kW  2020</t>
  </si>
  <si>
    <t>durée de vie années</t>
  </si>
  <si>
    <t>Ministère de l'écologie; Filière hydrogène; rapport sept. 2015</t>
  </si>
  <si>
    <t>33 =&gt; 23</t>
  </si>
  <si>
    <t>OPEX €/kg H2 2020</t>
  </si>
  <si>
    <t>OPEX €/kg H2 2030</t>
  </si>
  <si>
    <t>CAPEX €/kW  2030</t>
  </si>
  <si>
    <t>durée 10 ans: PME stack</t>
  </si>
  <si>
    <t>puissance MW</t>
  </si>
  <si>
    <t>Investissement (millions €)</t>
  </si>
  <si>
    <t>Invest. avec taux util.</t>
  </si>
  <si>
    <t>Invest. Démant.</t>
  </si>
  <si>
    <t>Facteur de charge</t>
  </si>
  <si>
    <t>Cout stockage par TWh</t>
  </si>
  <si>
    <t>CAPEX moyen  milliards</t>
  </si>
  <si>
    <t>€/kWh = milliards €/TWh</t>
  </si>
  <si>
    <t>CAPEX 1600MW</t>
  </si>
  <si>
    <t>millions €</t>
  </si>
  <si>
    <t>Production hydrogène</t>
  </si>
  <si>
    <t>Stockage énergie 24h pomp.eau (MWh)</t>
  </si>
  <si>
    <t>Cout comparatif EPR - Eolien</t>
  </si>
  <si>
    <t>Sources des gazes à effet de serre</t>
  </si>
  <si>
    <t>Toutes les types de stockage ont le même CAPEX sauf le pompage d'eau</t>
  </si>
  <si>
    <r>
      <t xml:space="preserve">Eolien    1/3  </t>
    </r>
    <r>
      <rPr>
        <b/>
        <sz val="11"/>
        <color rgb="FF000000"/>
        <rFont val="Calibri"/>
        <family val="2"/>
      </rPr>
      <t>(9)</t>
    </r>
  </si>
  <si>
    <r>
      <t xml:space="preserve">Photovoltaïque  2/3   </t>
    </r>
    <r>
      <rPr>
        <b/>
        <sz val="11"/>
        <color rgb="FF000000"/>
        <rFont val="Calibri"/>
        <family val="2"/>
      </rPr>
      <t>(4)</t>
    </r>
  </si>
  <si>
    <r>
      <t xml:space="preserve">Photovoltaïque  1/3   </t>
    </r>
    <r>
      <rPr>
        <b/>
        <sz val="11"/>
        <color rgb="FF000000"/>
        <rFont val="Calibri"/>
        <family val="2"/>
      </rPr>
      <t>(5)</t>
    </r>
  </si>
  <si>
    <r>
      <t xml:space="preserve">Eolien    2/3  </t>
    </r>
    <r>
      <rPr>
        <b/>
        <sz val="11"/>
        <color rgb="FF000000"/>
        <rFont val="Calibri"/>
        <family val="2"/>
      </rPr>
      <t>(9)</t>
    </r>
  </si>
  <si>
    <r>
      <t>Hydrogène dans mines vides</t>
    </r>
    <r>
      <rPr>
        <b/>
        <sz val="11"/>
        <color rgb="FF000000"/>
        <rFont val="Calibri"/>
        <family val="2"/>
      </rPr>
      <t xml:space="preserve"> (3)</t>
    </r>
  </si>
  <si>
    <r>
      <t xml:space="preserve">Transfert de pompage d’eau $/kWh </t>
    </r>
    <r>
      <rPr>
        <b/>
        <sz val="11"/>
        <color rgb="FF000000"/>
        <rFont val="Calibri"/>
        <family val="2"/>
      </rPr>
      <t>(8)</t>
    </r>
  </si>
  <si>
    <r>
      <t xml:space="preserve">Grandes éoliennes off shore </t>
    </r>
    <r>
      <rPr>
        <b/>
        <sz val="11"/>
        <color rgb="FF000000"/>
        <rFont val="Calibri"/>
        <family val="2"/>
      </rPr>
      <t>(2)</t>
    </r>
  </si>
  <si>
    <r>
      <t>Stockage énergie 24h batterie (MWh)</t>
    </r>
    <r>
      <rPr>
        <b/>
        <sz val="11"/>
        <color rgb="FF000000"/>
        <rFont val="Calibri"/>
        <family val="2"/>
      </rPr>
      <t xml:space="preserve"> (3)</t>
    </r>
  </si>
  <si>
    <r>
      <t xml:space="preserve">EPR de type Flamanville </t>
    </r>
    <r>
      <rPr>
        <b/>
        <sz val="11"/>
        <color rgb="FF000000"/>
        <rFont val="Calibri"/>
        <family val="2"/>
      </rPr>
      <t>(1)</t>
    </r>
    <r>
      <rPr>
        <sz val="11"/>
        <color rgb="FF000000"/>
        <rFont val="Calibri"/>
        <family val="2"/>
      </rPr>
      <t xml:space="preserve"> </t>
    </r>
    <r>
      <rPr>
        <b/>
        <sz val="11"/>
        <color rgb="FF000000"/>
        <rFont val="Calibri"/>
        <family val="2"/>
      </rPr>
      <t>(4)</t>
    </r>
  </si>
  <si>
    <t>Energie fini Mtoe 2020 - 2030</t>
  </si>
  <si>
    <t>Union Européenne des 27, PIB</t>
  </si>
  <si>
    <t>emissions GES</t>
  </si>
  <si>
    <t>Invest. "green new deal" sur 10 ans</t>
  </si>
  <si>
    <t>100 milliards par an, annonce EU de jan. 2020</t>
  </si>
  <si>
    <t>second. finale TWh</t>
  </si>
  <si>
    <t>sans nucléaire ni hydraulique ni autres renouvelables</t>
  </si>
  <si>
    <r>
      <rPr>
        <b/>
        <sz val="11"/>
        <color rgb="FF000000"/>
        <rFont val="Calibri"/>
        <family val="2"/>
      </rPr>
      <t xml:space="preserve">(9) </t>
    </r>
    <r>
      <rPr>
        <sz val="11"/>
        <color rgb="FF000000"/>
        <rFont val="Calibri"/>
        <family val="2"/>
      </rPr>
      <t>Les éoliennes en mer ont, en moyenne, un facteur de charge de 0.33, les éoliennes terrestres de 0.2</t>
    </r>
  </si>
  <si>
    <r>
      <rPr>
        <b/>
        <sz val="11"/>
        <color rgb="FF000000"/>
        <rFont val="Calibri"/>
        <family val="2"/>
      </rPr>
      <t>(5)</t>
    </r>
    <r>
      <rPr>
        <sz val="11"/>
        <color rgb="FF000000"/>
        <rFont val="Calibri"/>
        <family val="2"/>
      </rPr>
      <t xml:space="preserve"> En Allemagne, la production photovoltaique est 5 fois supérieur en été qu’en hiver alors que la consommation d’énergie est supérieur en hiver.</t>
    </r>
  </si>
  <si>
    <t>Mini-surgénérateurs remplacent fossiles</t>
  </si>
  <si>
    <t>facteur de charge</t>
  </si>
  <si>
    <t>prod. /an MWh</t>
  </si>
  <si>
    <t>nb. mini-centrales</t>
  </si>
  <si>
    <r>
      <t xml:space="preserve">Mini-surgénérateur puissance 100MW </t>
    </r>
    <r>
      <rPr>
        <b/>
        <sz val="11"/>
        <color rgb="FF000000"/>
        <rFont val="Calibri"/>
        <family val="2"/>
      </rPr>
      <t>(5)</t>
    </r>
  </si>
  <si>
    <t>Millions par an</t>
  </si>
  <si>
    <t>Cryptomonnaies / Blockchains</t>
  </si>
  <si>
    <t>Energie  TWh</t>
  </si>
  <si>
    <t>Selon l'IEA, les investissements en énergie verte devraient augmenter de 1200 milliards par an pour limiter rechauffement à 2°C.</t>
  </si>
  <si>
    <t>https://www.sciencedirect.com/topics/engineering/hydrogen-production-cost</t>
  </si>
  <si>
    <t>kWh/kg H2</t>
  </si>
  <si>
    <t>https://www.energy.gov/eere/fuelcells/doe-technical-targets-hydrogen-production-electrolysis</t>
  </si>
  <si>
    <t>$/kWh</t>
  </si>
  <si>
    <t>$/kg H2</t>
  </si>
  <si>
    <t>Purifier l'eau: Osmose inverse avec ~6kWh par m3: 6kWh *2/18 = 6 kWh/111kg. donc 0.002€ per kg.</t>
  </si>
  <si>
    <t>produire 1kg H2  (alcaline)</t>
  </si>
  <si>
    <t>produire 1kg H2  (PEM)</t>
  </si>
  <si>
    <t>Cout Electricité</t>
  </si>
  <si>
    <t>Cout production H2</t>
  </si>
  <si>
    <t xml:space="preserve">Investissement prod. hydrogène </t>
  </si>
  <si>
    <t>Rendement</t>
  </si>
  <si>
    <t>L'énergie primaire fossile correspond à l'énergie thermique du charbon, pétrol ou gaz tel qu'elles sont sorties de la terre, sans rafinage et transport.</t>
  </si>
  <si>
    <t>Papier et pulpe à papier</t>
  </si>
  <si>
    <t>https://energieplus-lesite.be/theories/chauffage11/rendement-d-une-chaudiere/</t>
  </si>
  <si>
    <t>http://needtoknow.nas.edu/energy/energy-efficiency/industrial-efficiency/</t>
  </si>
  <si>
    <t>http://www.isd-engineering.com</t>
  </si>
  <si>
    <t>les centrales nucléaires existantes ne sont pas remplacées et leur durée de vie peut être prolongée de 20 ans minimum</t>
  </si>
  <si>
    <r>
      <rPr>
        <b/>
        <sz val="11"/>
        <color rgb="FF000000"/>
        <rFont val="Calibri"/>
        <family val="2"/>
      </rPr>
      <t>(1)</t>
    </r>
    <r>
      <rPr>
        <sz val="11"/>
        <color rgb="FF000000"/>
        <rFont val="Calibri"/>
        <family val="2"/>
      </rPr>
      <t xml:space="preserve"> Il est supposé que des nouveaux EPR coûteraient 30% moins cher que celui de Flamanville. D'après la Cour des comptes, l'EPR de Flamanville coûte 18.7 milliards. Il est ensuite supposé qu'une centrale de type Superphénix coûtera autant qu'un EPR, supposition optimiste vue les rétissences des réglementateurs.
Facteur de charge d'une centrale nucléaire d'après le site d'EDF. En moyenne, une centrale est à l'arrêt pendant 32.5 jours par an  pour maintenance. (Source: EDF, Arrêt de Tranche) </t>
    </r>
  </si>
  <si>
    <t>https://www.centralbanking.com/central-banks/economics/4738011/the-cost-of-decarbonisation</t>
  </si>
  <si>
    <t>page 2/6</t>
  </si>
  <si>
    <t>page 3/6</t>
  </si>
  <si>
    <t>page 4/6</t>
  </si>
  <si>
    <t>page 6/6</t>
  </si>
  <si>
    <t>page 5/6</t>
  </si>
  <si>
    <t>https://energypost.eu/10-carbon-capture-methods-compared-costs-scalability-permanence-cleanness/</t>
  </si>
  <si>
    <t>Microalgues</t>
  </si>
  <si>
    <t>Bio-energie</t>
  </si>
  <si>
    <t>agriculture conservation</t>
  </si>
  <si>
    <t>min $ par tonne</t>
  </si>
  <si>
    <t>max $ par tonne</t>
  </si>
  <si>
    <t>Processus CO2+H4=&gt;CH4 (méthane)</t>
  </si>
  <si>
    <t>CO2 processus chimiques</t>
  </si>
  <si>
    <t>Our estimates show that at the top end, over 10 billion tonnes of CO2 (GtCO2) a year could be utilised – compared to global emissions of 40GtCO2 – for less than $100 per tonne.</t>
  </si>
  <si>
    <t>Conclusion energypost.eu</t>
  </si>
  <si>
    <t>1TWh = 1 000 000MWh</t>
  </si>
  <si>
    <r>
      <t xml:space="preserve">Nb. de transactions crypto-monnais </t>
    </r>
    <r>
      <rPr>
        <b/>
        <sz val="11"/>
        <color rgb="FF000000"/>
        <rFont val="Calibri"/>
        <family val="2"/>
      </rPr>
      <t>(6)</t>
    </r>
  </si>
  <si>
    <r>
      <t>Nb. de transactions bancaires</t>
    </r>
    <r>
      <rPr>
        <b/>
        <sz val="11"/>
        <color rgb="FF000000"/>
        <rFont val="Calibri"/>
        <family val="2"/>
      </rPr>
      <t xml:space="preserve"> (7)</t>
    </r>
  </si>
  <si>
    <r>
      <t xml:space="preserve">Electricité internet &amp; téléphonie </t>
    </r>
    <r>
      <rPr>
        <b/>
        <sz val="11"/>
        <color rgb="FF000000"/>
        <rFont val="Calibri"/>
        <family val="2"/>
      </rPr>
      <t>(8)</t>
    </r>
  </si>
  <si>
    <t>https://cornucopia.cornubot.se/2019/02/internet-drar-10-av-varldens.html</t>
  </si>
  <si>
    <t>www.hydropower.org/sites/default/files/publications-docs/the_worlds_water_battery_-_pumped_storage_and_the_clean_energy_transition_2.pdf</t>
  </si>
  <si>
    <r>
      <rPr>
        <b/>
        <sz val="11"/>
        <color rgb="FF000000"/>
        <rFont val="Calibri"/>
        <family val="2"/>
      </rPr>
      <t xml:space="preserve">(8) </t>
    </r>
    <r>
      <rPr>
        <sz val="11"/>
        <color rgb="FF000000"/>
        <rFont val="Calibri"/>
        <family val="2"/>
      </rPr>
      <t xml:space="preserve">En 2018, le volume de stockage d'eau dans des réservoirs dans le monde atteint presque 9TWh. Mes calculs supposent que ce volume sera à terme multiplié par 10 à 85TWh. Mais en Europe, le volume de stockage n'a augmenté que de 20% en 20 ans depuis 2001. Hydropower.org prévoit des nouveaux moyens de stockage pour 3.1TWh entre 2021 et 2030 pour passer de 9 TWh à 12 TWh en 2030. J'ai prévu d'une manière </t>
    </r>
    <r>
      <rPr>
        <b/>
        <sz val="11"/>
        <color rgb="FF000000"/>
        <rFont val="Calibri"/>
        <family val="2"/>
      </rPr>
      <t>très optimiste</t>
    </r>
    <r>
      <rPr>
        <sz val="11"/>
        <color rgb="FF000000"/>
        <rFont val="Calibri"/>
        <family val="2"/>
      </rPr>
      <t xml:space="preserve"> 85TWh en 2050 ou 2060. La Norvège est le pays avec le plus grand potentiel de stockage.</t>
    </r>
  </si>
  <si>
    <t>Emissions CO2 en tonnes en 2020</t>
  </si>
  <si>
    <t>CO2 tonnes</t>
  </si>
  <si>
    <t>Traitement déchets</t>
  </si>
  <si>
    <t>Infrastructures mobilité</t>
  </si>
  <si>
    <t>Total</t>
  </si>
  <si>
    <t>Equivalent watts</t>
  </si>
  <si>
    <t>Zurich Netto-Null Grundlagenbericht S.130 (3.-6.)</t>
  </si>
  <si>
    <t>Total par habitant, tout compris</t>
  </si>
  <si>
    <t>Commentaire / Source</t>
  </si>
  <si>
    <t>Bâtiments publiques +gest.energie</t>
  </si>
  <si>
    <t>Zurich Netto-Null Grundlagenbericht S.97 (1. + 3. + 5.)</t>
  </si>
  <si>
    <t>Zurich Netto-Null Grundlagenbericht S.153</t>
  </si>
  <si>
    <t>Chaleur fatale</t>
  </si>
  <si>
    <r>
      <rPr>
        <b/>
        <sz val="11"/>
        <color rgb="FF000000"/>
        <rFont val="Calibri"/>
        <family val="2"/>
      </rPr>
      <t xml:space="preserve">(2) </t>
    </r>
    <r>
      <rPr>
        <sz val="11"/>
        <color rgb="FF000000"/>
        <rFont val="Calibri"/>
        <family val="2"/>
      </rPr>
      <t>Facteur de charge des éoliennes off-shore belges en 2018. Les éoliennes n'ont pas besoin d'être démantelées, seuls quelques éléments dans le générateur doivent être remplacés tous les 30 ans. Il n'y a pas de raison pourquoi un mât d'éolien, fait avec un acier moderne, ait une vie plus courte que la tour Eifel, faite avec un acier de moindre qualité d'il y a 120 ans.</t>
    </r>
  </si>
  <si>
    <r>
      <rPr>
        <b/>
        <sz val="11"/>
        <color rgb="FF000000"/>
        <rFont val="Calibri"/>
        <family val="2"/>
      </rPr>
      <t xml:space="preserve">(3) </t>
    </r>
    <r>
      <rPr>
        <sz val="11"/>
        <color rgb="FF000000"/>
        <rFont val="Calibri"/>
        <family val="2"/>
      </rPr>
      <t>Stockage d'électricité dans des batteries ou des systèmes mécaniques aux prix semblables. Un pays avec une électricité nucléaire supérieur à 90% a aussi besoin de stockage dans des batteries pour stabiliser les fluctuations de la charge. EDF a investi environ 40 millions dans un tel système en 2018. Dans mes calculs du coût du nucléaire, ce besoin de stockage est ignoré, je n'ai trouvé aucun moyen pour estimer ce besoin, mais il faudrait encore l'ajouter au coût nucléaire. Les pertes du système de pompage d'eau sont estimées à 25%.</t>
    </r>
  </si>
  <si>
    <r>
      <rPr>
        <b/>
        <sz val="11"/>
        <color rgb="FF000000"/>
        <rFont val="Calibri"/>
        <family val="2"/>
      </rPr>
      <t>(5)</t>
    </r>
    <r>
      <rPr>
        <sz val="11"/>
        <color rgb="FF000000"/>
        <rFont val="Calibri"/>
        <family val="2"/>
      </rPr>
      <t xml:space="preserve"> Le facteur de charge est optimiste pour une centrale à neutrons rapides! Le nombre de mini-centrales nucléaires dans le monde pour remplacer toutes les énergies fossiles, sans rien faire d'autre, est très élevé. Comment dans ce cas contrôler le traité de non-prolifération des armes nucléaires ?</t>
    </r>
  </si>
  <si>
    <t>Energies fossiles</t>
  </si>
  <si>
    <t xml:space="preserve">Production électricité éolien </t>
  </si>
  <si>
    <t>TWh primaire</t>
  </si>
  <si>
    <t>TWh utile</t>
  </si>
  <si>
    <t>http://www.journal-eolien.org/tout-sur-l-eolien/la-production-d-electricite-eolienne/</t>
  </si>
  <si>
    <t>https://www.observatoire-climat-energie.fr/energie/consommation-denergie/energies-fossiles/</t>
  </si>
  <si>
    <t>Multiplication du nb. d'éoliennes</t>
  </si>
  <si>
    <t>Commentaire/ Source</t>
  </si>
  <si>
    <t>prévue 2028</t>
  </si>
  <si>
    <t>avec 17% de pertes pour le stockage (23% de pertes pendant 75% du temps)</t>
  </si>
  <si>
    <t>Production photovoltaïque</t>
  </si>
  <si>
    <t>En France, le facteur est 0,11</t>
  </si>
  <si>
    <t>Milliards €</t>
  </si>
  <si>
    <t>Investissement global ajusqu'en 2050</t>
  </si>
  <si>
    <t>Bloomberg NEO 2020 Executive Message, point 7, estime les besoins à 100'000 TWh</t>
  </si>
  <si>
    <t>Invest. Production hydrogène</t>
  </si>
  <si>
    <t>Domaine activité monde</t>
  </si>
  <si>
    <t>Bloomberg NEO 2020 Executive Key Messages : min 14000, max 66000 milliards, si réchauffement max = 2°C</t>
  </si>
  <si>
    <t>Energie grise Infrastructures et services publics Suisse</t>
  </si>
  <si>
    <t>Cout production hydrogène avec electrolyse</t>
  </si>
  <si>
    <t>Invest. en la production d'hydrogène par electrolyse</t>
  </si>
  <si>
    <t>Electrolyse+compression hydrogène moteur pile à combustible rendement 35%; ADEME 2020</t>
  </si>
  <si>
    <t>Éolien dans accus Li  AC→DC→AC</t>
  </si>
  <si>
    <t>Photovoltaïque vers accus Li DC→DC→AC</t>
  </si>
  <si>
    <r>
      <t>1 jour</t>
    </r>
    <r>
      <rPr>
        <b/>
        <sz val="11"/>
        <color rgb="FF000000"/>
        <rFont val="Calibri"/>
        <family val="2"/>
      </rPr>
      <t xml:space="preserve"> (3)</t>
    </r>
  </si>
  <si>
    <r>
      <rPr>
        <b/>
        <sz val="11"/>
        <color rgb="FF000000"/>
        <rFont val="Calibri"/>
        <family val="2"/>
      </rPr>
      <t>(3)</t>
    </r>
    <r>
      <rPr>
        <sz val="11"/>
        <color rgb="FF000000"/>
        <rFont val="Calibri"/>
        <family val="2"/>
      </rPr>
      <t xml:space="preserve"> Stockage d’hydrogène dans des anciens sites de gaz naturel pour des réserves saisonnières ou au moins pour quelque semaines. 
La durée de stockage d'un jour étant très faible, il est supposé que les batteries des voitures électriques en stationnement peuvent au moins couvrir les points de consommation à midi et le soir.</t>
    </r>
  </si>
  <si>
    <r>
      <rPr>
        <b/>
        <sz val="11"/>
        <color rgb="FF000000"/>
        <rFont val="Calibri"/>
        <family val="2"/>
      </rPr>
      <t xml:space="preserve">(6) </t>
    </r>
    <r>
      <rPr>
        <sz val="11"/>
        <color rgb="FF000000"/>
        <rFont val="Calibri"/>
        <family val="2"/>
      </rPr>
      <t>Sedlmeir, J., Buhl, H.U., Fridgen, G. et al. ; The Energy Consumption of Blockchain Technology (2020) .
Une transaction avec des Bitcoins consomme 10^9 joules (page 606). (10^9 Joules = 278kWh)
Selon l'IEA, l'ensemble des transactions en bitcoin ont consommé 50TWh en 2018 (IEA, Energy efficiency 2019, page 39). Depuis, le nombre des transactions de toutes les cryptomonnais a considérablement augmenté.</t>
    </r>
  </si>
  <si>
    <t>https://www.economist.com/europe/2021/05/15/plentiful-renewable-energy-is-opening-up-a-new-industrial-frontier</t>
  </si>
  <si>
    <t>voir aussi IEA 2015</t>
  </si>
  <si>
    <r>
      <t xml:space="preserve">Production fer et acier sans CO2 </t>
    </r>
    <r>
      <rPr>
        <b/>
        <sz val="11"/>
        <color rgb="FF000000"/>
        <rFont val="Calibri"/>
        <family val="2"/>
      </rPr>
      <t>(1)</t>
    </r>
  </si>
  <si>
    <t>Production pour stockage, reserve 30h</t>
  </si>
  <si>
    <r>
      <t>Minéraux et matériaux non ferreux</t>
    </r>
    <r>
      <rPr>
        <b/>
        <sz val="11"/>
        <color rgb="FF000000"/>
        <rFont val="Calibri"/>
        <family val="2"/>
      </rPr>
      <t xml:space="preserve"> (2)</t>
    </r>
  </si>
  <si>
    <t>PIB UE = 19% du PIB monde; Importation 15% énergie grise</t>
  </si>
  <si>
    <t>List of nominal GDP for European countries in billion USD, according to IMF (Milliards $)</t>
  </si>
  <si>
    <t>Country </t>
  </si>
  <si>
    <t>2010 </t>
  </si>
  <si>
    <t>2011 </t>
  </si>
  <si>
    <t>2012 </t>
  </si>
  <si>
    <t>2013 </t>
  </si>
  <si>
    <t>2014 </t>
  </si>
  <si>
    <t>2015 </t>
  </si>
  <si>
    <t>2016 </t>
  </si>
  <si>
    <t>2017 </t>
  </si>
  <si>
    <t>2018 </t>
  </si>
  <si>
    <t>2019 </t>
  </si>
  <si>
    <t>% of world</t>
  </si>
  <si>
    <t> Germany</t>
  </si>
  <si>
    <t> United Kingdom</t>
  </si>
  <si>
    <t> France</t>
  </si>
  <si>
    <t> Italy</t>
  </si>
  <si>
    <t> Spain</t>
  </si>
  <si>
    <t> Netherlands</t>
  </si>
  <si>
    <t>  Switzerland</t>
  </si>
  <si>
    <t> Poland</t>
  </si>
  <si>
    <t> Sweden</t>
  </si>
  <si>
    <t> Belgium</t>
  </si>
  <si>
    <t> Austria</t>
  </si>
  <si>
    <t> Norway</t>
  </si>
  <si>
    <t> Ireland</t>
  </si>
  <si>
    <t> Denmark</t>
  </si>
  <si>
    <t> Finland</t>
  </si>
  <si>
    <t> Czech Republic</t>
  </si>
  <si>
    <t> Portugal</t>
  </si>
  <si>
    <t> Romania</t>
  </si>
  <si>
    <t> Greece</t>
  </si>
  <si>
    <t> Hungary</t>
  </si>
  <si>
    <t> Slovakia</t>
  </si>
  <si>
    <t> Luxembourg</t>
  </si>
  <si>
    <t> Bulgaria</t>
  </si>
  <si>
    <t> Croatia</t>
  </si>
  <si>
    <t> Slovenia</t>
  </si>
  <si>
    <t> Lithuania</t>
  </si>
  <si>
    <t> Latvia</t>
  </si>
  <si>
    <t> Estonia</t>
  </si>
  <si>
    <t> Iceland</t>
  </si>
  <si>
    <t> Cyprus</t>
  </si>
  <si>
    <t> Malta</t>
  </si>
  <si>
    <r>
      <rPr>
        <b/>
        <sz val="11"/>
        <color rgb="FF000000"/>
        <rFont val="Calibri"/>
        <family val="2"/>
      </rPr>
      <t>(6)</t>
    </r>
    <r>
      <rPr>
        <sz val="11"/>
        <color rgb="FF000000"/>
        <rFont val="Calibri"/>
        <family val="2"/>
      </rPr>
      <t xml:space="preserve"> La consommation d’énergie suit le PIB. Vu les relations commerciales, l’Europe importe environ 15% d’énergie en forme d’énergie grise de plus qu’elle exporte.  PIB monde = $84000 milliards   PIB Europe = $16600 milliards = 20 % (année 2020)</t>
    </r>
  </si>
  <si>
    <t>Total UE  + Schengen</t>
  </si>
  <si>
    <t>Total Monde (banque mondiale)</t>
  </si>
  <si>
    <t xml:space="preserve">Union européenne + Schengen, PIB </t>
  </si>
  <si>
    <t>Monaco+Andorra+Licht.</t>
  </si>
  <si>
    <t>% pour calculs CAPEX</t>
  </si>
  <si>
    <t>% fossiles du total</t>
  </si>
  <si>
    <r>
      <rPr>
        <b/>
        <sz val="11"/>
        <color rgb="FF000000"/>
        <rFont val="Calibri"/>
        <family val="2"/>
      </rPr>
      <t>(8)</t>
    </r>
    <r>
      <rPr>
        <sz val="11"/>
        <color rgb="FF000000"/>
        <rFont val="Calibri"/>
        <family val="2"/>
      </rPr>
      <t xml:space="preserve"> Total Consumer Power Consumption Forecast, Anders S.G. Andrae (Huawei), lors du Nordic Digital Business Summit, Helsinki, oct.2017.
D'après le "Royal Institute of Technology KTH" de la Suède, la consommation d'énergie de l'internet est de 2500 TWh en 2019. </t>
    </r>
  </si>
  <si>
    <r>
      <rPr>
        <b/>
        <sz val="11"/>
        <color rgb="FF000000"/>
        <rFont val="Calibri"/>
        <family val="2"/>
      </rPr>
      <t>(7)</t>
    </r>
    <r>
      <rPr>
        <sz val="11"/>
        <color rgb="FF000000"/>
        <rFont val="Calibri"/>
        <family val="2"/>
      </rPr>
      <t xml:space="preserve"> Si toutes les transactions bancaires se faisaient en cryptomonnaie,</t>
    </r>
    <r>
      <rPr>
        <b/>
        <sz val="11"/>
        <color rgb="FF000000"/>
        <rFont val="Calibri"/>
        <family val="2"/>
      </rPr>
      <t xml:space="preserve"> l</t>
    </r>
    <r>
      <rPr>
        <sz val="11"/>
        <color rgb="FF000000"/>
        <rFont val="Calibri"/>
        <family val="2"/>
      </rPr>
      <t>a consommation d'énergie correspondrait à 20 fois la consommation d'énergie de tout l'internet en 2020. Remplacer toutes les transactions bancaires du monde par des transactions basées sur des blockchains et des cryptomonnaies consommerait beaucoup trop d'énergie (50000 TWh)! Ceci correspond à 50% de l'énergie électrique si toutes les énergies fossiles étaient remplacées par l'électricité ou 2 fois toute l'électricité produite en 2020.</t>
    </r>
  </si>
  <si>
    <r>
      <rPr>
        <b/>
        <sz val="11"/>
        <color rgb="FF000000"/>
        <rFont val="Calibri"/>
        <family val="2"/>
      </rPr>
      <t>(4)</t>
    </r>
    <r>
      <rPr>
        <sz val="11"/>
        <color rgb="FF000000"/>
        <rFont val="Calibri"/>
        <family val="2"/>
      </rPr>
      <t xml:space="preserve"> Arrêt tranches pour maintenance: 15 jours tous les ans, 30 jours tous les 2 ans; 100 jours tous les 10 ans: 
32,5 jours en moyenne par an. Les arrêts pour manque d'eau dans les rivières ne sont pas inclus, sinon le facteur serait encore plus bas.</t>
    </r>
  </si>
  <si>
    <t>utiliser le champ M36 pour tester un pays</t>
  </si>
  <si>
    <t>Total UE + GB</t>
  </si>
  <si>
    <t>transaction kWh</t>
  </si>
  <si>
    <t>Transport, moteurs élec. accu LiIon</t>
  </si>
  <si>
    <t>Transport, hydrogène, pile à combustible</t>
  </si>
  <si>
    <t>stockage accu et moteur el. = 2 x moins de pertes que moteur thérmique, électr. zéro CO2</t>
  </si>
  <si>
    <r>
      <rPr>
        <b/>
        <sz val="11"/>
        <color rgb="FF000000"/>
        <rFont val="Calibri"/>
        <family val="2"/>
      </rPr>
      <t>(4)</t>
    </r>
    <r>
      <rPr>
        <sz val="11"/>
        <color rgb="FF000000"/>
        <rFont val="Calibri"/>
        <family val="2"/>
      </rPr>
      <t xml:space="preserve"> l’AIE estime qu’en 2050 dans le monde, un tiers des énergies renouvelable installés sera éolien et deux tiers photovoltaïque. Pour les pays au nord des Alpes, il faut donc plus d’éolien qui produit davantage en hiver, sinon il faudrait produire trois fois plus en été. Le facteur de conversion 0.15 pour le photovoltaique est une moyenne sur l'ensemble de la planète. </t>
    </r>
  </si>
  <si>
    <t>sans equippements hydrogène</t>
  </si>
  <si>
    <t>Renouvelables remplacent fossiles,  Union européenne + Schengen (6)</t>
  </si>
  <si>
    <t>Renouvelables remplacent fossiles dans le Monde</t>
  </si>
  <si>
    <t>Mais produire 1kg d'hydrogène produit 10kg de CO2!</t>
  </si>
  <si>
    <t>Enérgies fossile par secteur</t>
  </si>
  <si>
    <t>Invest. €/watt crête installé</t>
  </si>
  <si>
    <r>
      <t xml:space="preserve">voir aussi: </t>
    </r>
    <r>
      <rPr>
        <u/>
        <sz val="11"/>
        <color rgb="FF0070C0"/>
        <rFont val="Calibri"/>
        <family val="2"/>
      </rPr>
      <t>https://www.technologyreview.com/2019/10/10/369/how-a-new-class-of-startups-are-working-to-solve-the-grid-storage-puzzle/</t>
    </r>
  </si>
  <si>
    <t>Auteur: Pierre Strack          Version 1.1</t>
  </si>
  <si>
    <r>
      <rPr>
        <b/>
        <sz val="11"/>
        <color rgb="FF000000"/>
        <rFont val="Calibri"/>
        <family val="2"/>
      </rPr>
      <t xml:space="preserve">(7) </t>
    </r>
    <r>
      <rPr>
        <sz val="11"/>
        <color rgb="FF000000"/>
        <rFont val="Calibri"/>
        <family val="2"/>
      </rPr>
      <t xml:space="preserve">J'ai prévu le strict minimum en volume de stockage. Il existera des configurations météorologiques pendant lesquelles un certain nombre de machines ne pourront pas fonctionner, elles devront attendre un signal d'EDF pour démarrer, semblable aux signaux envoyés pour démarrer les chauffe-eau pendant les heures creuses. Données du National Renewable Energy Laboratory (NREL);      </t>
    </r>
  </si>
  <si>
    <t>Conversion euro / dollar = 1.0; moyenne depuis 2015: 1€ = 1.1$; minimum en 2002: 1€ = 0,71$</t>
  </si>
  <si>
    <r>
      <t xml:space="preserve">Les scénarios probables de l'AIE et du NEO 2019 (Boomberg) prévoient encore une croissance cumulée de 6% des énergies fossiles jusqu'en 2027. L'équivalent de CO2 de ces 6% sera capturé par les sols et forêts en 2050. Bien que l'agriculture de conservation puisse capturer et stocker beaucoup de CO2, ce processus fonctionne pendant environ 20 ans jusqu'à ce que les sols aient atteint le maximum de carbone. Concernant les forêts, le bilan de stockage du CO2 est positif uniquement si le bois est utilisé dans la construction de bâtiments et de meubles, et non pas pour chauffer des bâtiments ou pour faire de l'électricité. Le seul groupe Drax GB brûle 7 500 000 t de bois par an dans des centrales électriques. Ce bois brulé emet autant de CO2 qu'il a capturé! Ensuite, les forêts primaires émettent autant de CO2 qu'elles captent, car il y a autant de bois qui se décomposent que de nouveau bois qui se forme. Seules les forêts "gérées", dont les vieux arbres sont coupés pour une utilisation permanente, sont des "puits de carbone".  </t>
    </r>
    <r>
      <rPr>
        <u/>
        <sz val="10"/>
        <color rgb="FF0070C0"/>
        <rFont val="Calibri"/>
        <family val="2"/>
      </rPr>
      <t>https://www.economist.com/international/the-world-should-prove-its-love-for-forests-by-putting-carbon-prices-on-them/21806086</t>
    </r>
  </si>
  <si>
    <t>Electrolyseur 2MW CAPEX=$5 millions: devis société Linde; plus $250000 tout les 10 ans. Rendement 65%</t>
  </si>
  <si>
    <t>2020      Milliard $</t>
  </si>
  <si>
    <t>2030    Milliard $</t>
  </si>
  <si>
    <t>Capacité hydrogène: 12TW 4h/j 200j/an pour stockage inter-saison 10 000TWh</t>
  </si>
  <si>
    <t>Moyenne CH</t>
  </si>
  <si>
    <t>Energie mobilité</t>
  </si>
  <si>
    <t>Energie allimentation</t>
  </si>
  <si>
    <t>Energie logement chauffage+eau chaude</t>
  </si>
  <si>
    <t>Energie grise consommation objets</t>
  </si>
  <si>
    <t>Travail à temps partiel plus répandu qu'en Suisse réduit pouvoir d'achat non-essentiel.</t>
  </si>
  <si>
    <t>https://www.economist.com/international/2020/12/05/the-pandemic-may-be-encouraging-people-to-live-in-larger-groups</t>
  </si>
  <si>
    <t>Voir étude du quartier. Une partie de l'électricité est produite dans le quartier en autoconsommation</t>
  </si>
  <si>
    <t>Energie grise administrations, Etat et infrastructures</t>
  </si>
  <si>
    <t>Plus qu'un logement</t>
  </si>
  <si>
    <t xml:space="preserve">Forte réduction de la mobilité routière réduit besoins de routes à 4 et 6 voies, avec moins transport de marchandises, moins d'usure des routes. Quartier + coopérative = 1er ammortisseur social réduit administration publique. Le quartier a moins de solitude (santé). Pour la solitude, voir: </t>
  </si>
  <si>
    <t>Energie grise quartier + habitation</t>
  </si>
  <si>
    <t>Electricité logement</t>
  </si>
  <si>
    <t xml:space="preserve">Appareil divers du logement (télévision, frigo, …). </t>
  </si>
  <si>
    <t>Très peu de voitures. Utilisation de voitures+vélos électriques partagés, plus d'emploies locaux reduisent déplacements</t>
  </si>
  <si>
    <t>Maraichage BIO local (50% de l'énergie allimentation = transport); un peu moins de viande et exotique</t>
  </si>
  <si>
    <t>Habitations 35m² par personne contre 45m² en CH; peu carrelage, béton brut ou ciré, plus de constructions bois, peu de garages; machines+équippements longue durée partagées. Pas de voiture pour les particuliers.</t>
  </si>
  <si>
    <t>Commentaire/ Source 
(A l'exception de la nourriture, on suppose qu'il y a correlation entre pouvoir d'achat et energie)</t>
  </si>
  <si>
    <t>TWh EU</t>
  </si>
  <si>
    <t>Project northern sea, D, DM, S in 2050</t>
  </si>
  <si>
    <t>Total need</t>
  </si>
  <si>
    <t>EU 260 GW off shore wind turbines (Economist, "Northern delights", 7/1/2023)</t>
  </si>
  <si>
    <t>Need = 100 000 TWh * part of world GdP in order to replace ALL fossile fuels</t>
  </si>
  <si>
    <t>Total renewable installed in Europe 2022</t>
  </si>
  <si>
    <t>GW EU</t>
  </si>
  <si>
    <t>https://www.iea.org/reports/renewables-2022/renewable-electricity</t>
  </si>
  <si>
    <t>Total projected</t>
  </si>
  <si>
    <t>GWh/kt acier</t>
  </si>
  <si>
    <t>GW/haut f.</t>
  </si>
  <si>
    <t>ktonnes/jour</t>
  </si>
  <si>
    <t>t CO2/t acier</t>
  </si>
  <si>
    <t>Production Haut Fourneaux charbon</t>
  </si>
  <si>
    <t>https://www.sciencedirect.com/science/article/pii/S0959652618326301</t>
  </si>
  <si>
    <t>3,5MWh / t acier + 0,5 MWh four à arc</t>
  </si>
  <si>
    <t>Production direct reduction + four à arc</t>
  </si>
  <si>
    <t>Electricité GW permanant/haut fourneau</t>
  </si>
  <si>
    <t>Générateur EPR = 1,3GW</t>
  </si>
  <si>
    <t>Loin du but des 20180 !!</t>
  </si>
  <si>
    <r>
      <t xml:space="preserve">(1) </t>
    </r>
    <r>
      <rPr>
        <sz val="11"/>
        <color rgb="FF000000"/>
        <rFont val="Calibri"/>
        <family val="2"/>
        <charset val="1"/>
      </rPr>
      <t>Sans énergies fossiles, l’acier peut être fabriqué par des fours à arc électrique avec de l’acier et du fer de recyclage. Il faut 475kWh pour 1t d’acier à partir de fer recyclé. Des "fours à réduction directe", en y ajoutant de l’hydrogène, peuvent produire de l’acier à partir de minerais. Ainsi, à Luela dans une usine-pilote, la société  suédoise  SSAB produit de l’acier quasiment sans produire du CO2 en utilisant de l’hydrogène. L’hydrogène est produit par électrolyse et de l’électricité issue d’énergies renouvelables. Mais en 2019, 70 % de l’acier est produit à partir de minerais avec du charbon. Produire de l’acier à partir de fer recyclé consomme 5 fois moins d’énergie qu’à partir de minerais.</t>
    </r>
  </si>
  <si>
    <t>voir note (2)</t>
  </si>
  <si>
    <t>https://www.sciencedirect.com/topics/engineering/blast-furnace</t>
  </si>
  <si>
    <t>17GJ=0.005GWh/t acier</t>
  </si>
  <si>
    <t>En 2020, ce cout est 4 fois supérieur à la production de H2 par reformation de méthane CH4. (CH4+2*H2O =&gt; 4*H2+CO2). Société Nel ASA.</t>
  </si>
  <si>
    <t>Quartier "Plus qu'un logement" 
Consommation d'énergie par domaine</t>
  </si>
  <si>
    <t>En France, l'entretien de 1'100'000 km de routes nécessite 3 millions de tonnes de produits pétroliers par an. Aucune technologie n'est en vue pour remplacer une telle quantité de produits. L'usure des routes est cruciale.</t>
  </si>
  <si>
    <t>Reserve journalière + production reserve saisonnière = 30h</t>
  </si>
  <si>
    <t>1 - 60 jours</t>
  </si>
  <si>
    <t>5-90 jours</t>
  </si>
  <si>
    <t>pertes moyennes avec pondération = 30%</t>
  </si>
  <si>
    <t>Avec équipement pour production d'hydrogène (30000 milliards)</t>
  </si>
  <si>
    <t>Electrolyse pertes 30%, compression pertes 15 %; produit électricité et récupère chaleur logement 10%</t>
  </si>
  <si>
    <t>Electrolyse pertes 30%, compression pertes 5 %; produit électricité et récupère chaleur industrie 5%</t>
  </si>
  <si>
    <t>Electricité Haut fourneaux charbon</t>
  </si>
  <si>
    <t>https://kaspergroesludvigsen.medium.com/chatgpts-electricity-consumption-pt-ii-225e7e43f22b</t>
  </si>
  <si>
    <t xml:space="preserve">kWh </t>
  </si>
  <si>
    <t>Nb de recherches Google par jour</t>
  </si>
  <si>
    <t>https://www.oberlo.com/blog/google-search-statistics</t>
  </si>
  <si>
    <t>TWh / an</t>
  </si>
  <si>
    <t>Notes:</t>
  </si>
  <si>
    <t>GPT3: 175 milliards parameters, 60 milliards neurones</t>
  </si>
  <si>
    <t>Nb de recherches hors Chine/Russie / jour</t>
  </si>
  <si>
    <t>Consommation d'Electricité TWh</t>
  </si>
  <si>
    <t>milliards / jour</t>
  </si>
  <si>
    <t>GPT4 avec Chine+Russie, nb d'EPR</t>
  </si>
  <si>
    <t>Electricité Chat-GPT-4 (1)</t>
  </si>
  <si>
    <r>
      <rPr>
        <b/>
        <sz val="11"/>
        <color rgb="FF000000"/>
        <rFont val="Calibri"/>
        <family val="2"/>
      </rPr>
      <t xml:space="preserve">(1) </t>
    </r>
    <r>
      <rPr>
        <sz val="11"/>
        <color rgb="FF000000"/>
        <rFont val="Calibri"/>
        <family val="2"/>
      </rPr>
      <t>13M daily users 15 requests per day need 29'000 Nvidia A100 GPUs. 0.004kWh per request BLOOM language model. chatGPT3 needs 4 - 23GWh per month</t>
    </r>
  </si>
  <si>
    <t>GPT4: &gt;1200 milliards parametres, env. 500 milliards de neurones</t>
  </si>
  <si>
    <t>TWh pays % de
100'000 TWh</t>
  </si>
  <si>
    <t>mit Biomasse = 50Twh und Wasserkraft = 20 TWh</t>
  </si>
  <si>
    <t>total TWh</t>
  </si>
  <si>
    <t>Deutschland geplante Energiequellen bis 2045
zusätzlich Biomasse = 50TWh, Wasserkraft = 20TWh</t>
  </si>
  <si>
    <t>Energieverbrauch durch 3 teilen!</t>
  </si>
  <si>
    <t xml:space="preserve">Deutschland </t>
  </si>
  <si>
    <t>En 2020, le coût est de 1000€/kWh pour des batteries de taille moyenne.
https://www.batteriedomestique.be/
Sabine Hossenfelder suppose qu'il faudrait 1000 TWh de stockage, pas 340 TWh !!</t>
  </si>
  <si>
    <t>Capacité de stockage 340 TWh</t>
  </si>
  <si>
    <t>Renewable projects UE</t>
  </si>
  <si>
    <t>Energie France en 2020</t>
  </si>
  <si>
    <r>
      <t>Capture &amp; sequestration de CO</t>
    </r>
    <r>
      <rPr>
        <b/>
        <sz val="11"/>
        <color rgb="FF000000"/>
        <rFont val="Calibri"/>
        <family val="2"/>
      </rPr>
      <t>2</t>
    </r>
  </si>
  <si>
    <t>Monde</t>
  </si>
  <si>
    <t>Suisse</t>
  </si>
  <si>
    <t>Invest $
milliards</t>
  </si>
  <si>
    <t>Energieperspektiven 2050+</t>
  </si>
  <si>
    <t>PIB $ 
milliards</t>
  </si>
  <si>
    <t>Investitionen CH incl. énergie grise importé</t>
  </si>
  <si>
    <t>Energieperspektiven 2050+ avec facteur GES importés</t>
  </si>
  <si>
    <r>
      <t>PIB et Energie grise importé CO</t>
    </r>
    <r>
      <rPr>
        <b/>
        <sz val="10"/>
        <color rgb="FF000000"/>
        <rFont val="Calibri"/>
        <family val="2"/>
      </rPr>
      <t>2</t>
    </r>
    <r>
      <rPr>
        <b/>
        <sz val="12"/>
        <color rgb="FF000000"/>
        <rFont val="Calibri"/>
        <family val="2"/>
      </rPr>
      <t xml:space="preserve"> (CH)</t>
    </r>
  </si>
  <si>
    <t>Energie 
total TWh</t>
  </si>
  <si>
    <t>Invest en fct
  PIB $ (Fr)</t>
  </si>
  <si>
    <t>facteur 2019: (65-5)/40 = 1,5</t>
  </si>
  <si>
    <t>Energie - Fakten und Zahlen (Eidgenossenschaft) + Bundesamt Treibhausgasemissionen Inland/Ausland</t>
  </si>
  <si>
    <t>Commentaire / source.  1PJ = 0.28TWh</t>
  </si>
  <si>
    <r>
      <t>Investit. CH intérieur 2050</t>
    </r>
    <r>
      <rPr>
        <b/>
        <sz val="11"/>
        <color rgb="FF000000"/>
        <rFont val="Calibri"/>
        <family val="2"/>
      </rPr>
      <t xml:space="preserve"> [2]</t>
    </r>
  </si>
  <si>
    <t>1600 milliards par an. Voir Economist, 23 mai 2020, page 50; =18% du total</t>
  </si>
  <si>
    <r>
      <rPr>
        <b/>
        <sz val="11"/>
        <color rgb="FF000000"/>
        <rFont val="Calibri"/>
        <family val="2"/>
      </rPr>
      <t>(2)</t>
    </r>
    <r>
      <rPr>
        <sz val="11"/>
        <color rgb="FF000000"/>
        <rFont val="Calibri"/>
        <family val="2"/>
      </rPr>
      <t xml:space="preserve"> Sans investissements dans l'extension du réseau électrique qui font 18% du total. NZZ 2.8.2023 </t>
    </r>
    <r>
      <rPr>
        <i/>
        <sz val="11"/>
        <color rgb="FF000000"/>
        <rFont val="Calibri"/>
        <family val="2"/>
      </rPr>
      <t>Wie das Stromnetz ausgebaut werden muss</t>
    </r>
  </si>
  <si>
    <t>Agora: Klimaneutrales Deutschland 2045</t>
  </si>
  <si>
    <r>
      <t>2020:</t>
    </r>
    <r>
      <rPr>
        <b/>
        <sz val="11"/>
        <color rgb="FF000000"/>
        <rFont val="Calibri"/>
        <family val="2"/>
      </rPr>
      <t xml:space="preserve"> 3600</t>
    </r>
  </si>
  <si>
    <r>
      <t xml:space="preserve">Durchsch. Dauerverbrauch: 2500 Watt </t>
    </r>
    <r>
      <rPr>
        <sz val="11"/>
        <color rgb="FF000000"/>
        <rFont val="Calibri"/>
        <family val="2"/>
      </rPr>
      <t>(85% des Wasserstoffs werden importiert)</t>
    </r>
  </si>
  <si>
    <t>centrales nucléaires</t>
  </si>
  <si>
    <t>Avec Chine + Russie etc. 13,5 milliards</t>
  </si>
  <si>
    <t>Nb recherches dans monde / jour</t>
  </si>
  <si>
    <t>Electricité par recherche GPT-4</t>
  </si>
  <si>
    <t>sans invest réseau</t>
  </si>
  <si>
    <t>Production EPR à 1.2 GW; fact.charge 80%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</si>
</sst>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 #,##0.00\ ;\ * \(#,##0.00\);\ * \-#\ ;\ @\ "/>
    <numFmt numFmtId="165" formatCode="\ * #,##0\ ;\ * \(#,##0\);\ * \-#\ ;\ @\ "/>
    <numFmt numFmtId="166" formatCode="&quot; $&quot;* #,##0.00\ ;&quot; $&quot;* \(#,##0.00\);&quot; $&quot;* \-#\ ;\ @\ "/>
    <numFmt numFmtId="167" formatCode="0.0"/>
    <numFmt numFmtId="168" formatCode="0.000"/>
    <numFmt numFmtId="169" formatCode="0.0%"/>
  </numFmts>
  <fonts count="28" x14ac:knownFonts="1">
    <font>
      <sz val="11"/>
      <color rgb="FF000000"/>
      <name val="Calibri"/>
      <family val="2"/>
    </font>
    <font>
      <sz val="12"/>
      <color rgb="FF000000"/>
      <name val="Calibri"/>
      <family val="2"/>
    </font>
    <font>
      <b/>
      <sz val="10"/>
      <color rgb="FF000000"/>
      <name val="Calibri"/>
      <family val="2"/>
    </font>
    <font>
      <b/>
      <sz val="11"/>
      <color rgb="FF000000"/>
      <name val="Calibri"/>
      <family val="2"/>
    </font>
    <font>
      <b/>
      <sz val="12"/>
      <color rgb="FF000000"/>
      <name val="Calibri"/>
      <family val="2"/>
    </font>
    <font>
      <b/>
      <u/>
      <sz val="12"/>
      <color rgb="FF000000"/>
      <name val="Calibri"/>
      <family val="2"/>
    </font>
    <font>
      <sz val="11"/>
      <color rgb="FF000000"/>
      <name val="Calibri"/>
      <family val="2"/>
    </font>
    <font>
      <sz val="10"/>
      <color rgb="FF000000"/>
      <name val="Calibri"/>
      <family val="2"/>
    </font>
    <font>
      <u/>
      <sz val="11"/>
      <color theme="10"/>
      <name val="Calibri"/>
      <family val="2"/>
    </font>
    <font>
      <u/>
      <sz val="9"/>
      <color theme="10"/>
      <name val="Calibri"/>
      <family val="2"/>
    </font>
    <font>
      <sz val="9"/>
      <color rgb="FF000000"/>
      <name val="Calibri"/>
      <family val="2"/>
    </font>
    <font>
      <sz val="10"/>
      <color theme="1"/>
      <name val="Calibri"/>
      <family val="2"/>
    </font>
    <font>
      <b/>
      <u/>
      <sz val="11"/>
      <color rgb="FF000000"/>
      <name val="Calibri"/>
      <family val="2"/>
    </font>
    <font>
      <u/>
      <sz val="10"/>
      <color theme="10"/>
      <name val="Calibri"/>
      <family val="2"/>
    </font>
    <font>
      <b/>
      <sz val="14"/>
      <color rgb="FF000000"/>
      <name val="Calibri"/>
      <family val="2"/>
    </font>
    <font>
      <sz val="11"/>
      <color rgb="FF3F3F76"/>
      <name val="Calibri"/>
      <family val="2"/>
      <scheme val="minor"/>
    </font>
    <font>
      <b/>
      <sz val="10"/>
      <color theme="1"/>
      <name val="Calibri"/>
      <family val="2"/>
    </font>
    <font>
      <u/>
      <sz val="8"/>
      <color theme="10"/>
      <name val="Calibri"/>
      <family val="2"/>
    </font>
    <font>
      <b/>
      <sz val="11"/>
      <name val="Calibri"/>
      <family val="2"/>
    </font>
    <font>
      <sz val="11"/>
      <color rgb="FF000000"/>
      <name val="Calibri"/>
      <family val="2"/>
      <charset val="1"/>
    </font>
    <font>
      <b/>
      <sz val="11"/>
      <color rgb="FF000000"/>
      <name val="Calibri"/>
      <family val="2"/>
      <charset val="1"/>
    </font>
    <font>
      <u/>
      <sz val="11"/>
      <color rgb="FF0563C1"/>
      <name val="Calibri"/>
      <family val="2"/>
      <charset val="1"/>
    </font>
    <font>
      <sz val="11"/>
      <color rgb="FF3F3F76"/>
      <name val="Calibri"/>
      <family val="2"/>
      <charset val="1"/>
    </font>
    <font>
      <b/>
      <sz val="11"/>
      <color theme="1"/>
      <name val="Calibri"/>
      <family val="2"/>
      <scheme val="minor"/>
    </font>
    <font>
      <sz val="11"/>
      <color theme="1"/>
      <name val="Calibri"/>
      <family val="2"/>
    </font>
    <font>
      <u/>
      <sz val="11"/>
      <color rgb="FF0070C0"/>
      <name val="Calibri"/>
      <family val="2"/>
    </font>
    <font>
      <u/>
      <sz val="10"/>
      <color rgb="FF0070C0"/>
      <name val="Calibri"/>
      <family val="2"/>
    </font>
    <font>
      <i/>
      <sz val="11"/>
      <color rgb="FF000000"/>
      <name val="Calibri"/>
      <family val="2"/>
    </font>
  </fonts>
  <fills count="7">
    <fill>
      <patternFill patternType="none"/>
    </fill>
    <fill>
      <patternFill patternType="gray125"/>
    </fill>
    <fill>
      <patternFill patternType="solid">
        <fgColor rgb="FFDDDDDD"/>
        <bgColor rgb="FFFFCCCC"/>
      </patternFill>
    </fill>
    <fill>
      <patternFill patternType="solid">
        <fgColor rgb="FFFFFF00"/>
        <bgColor rgb="FFFFFF00"/>
      </patternFill>
    </fill>
    <fill>
      <patternFill patternType="solid">
        <fgColor rgb="FFFFFF00"/>
        <bgColor indexed="64"/>
      </patternFill>
    </fill>
    <fill>
      <patternFill patternType="solid">
        <fgColor rgb="FFFFCC99"/>
      </patternFill>
    </fill>
    <fill>
      <patternFill patternType="solid">
        <fgColor rgb="FFFFCC99"/>
        <bgColor rgb="FFC0C0C0"/>
      </patternFill>
    </fill>
  </fills>
  <borders count="16">
    <border>
      <left/>
      <right/>
      <top/>
      <bottom/>
      <diagonal/>
    </border>
    <border>
      <left/>
      <right/>
      <top/>
      <bottom style="thin">
        <color auto="1"/>
      </bottom>
      <diagonal/>
    </border>
    <border>
      <left/>
      <right/>
      <top/>
      <bottom style="double">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auto="1"/>
      </top>
      <bottom style="double">
        <color auto="1"/>
      </bottom>
      <diagonal/>
    </border>
    <border>
      <left/>
      <right/>
      <top/>
      <bottom style="medium">
        <color auto="1"/>
      </bottom>
      <diagonal/>
    </border>
  </borders>
  <cellStyleXfs count="11">
    <xf numFmtId="0" fontId="0" fillId="0" borderId="0"/>
    <xf numFmtId="164" fontId="6" fillId="0" borderId="0" applyBorder="0" applyProtection="0"/>
    <xf numFmtId="166" fontId="6" fillId="0" borderId="0" applyBorder="0" applyProtection="0"/>
    <xf numFmtId="0" fontId="2" fillId="2" borderId="0" applyBorder="0" applyProtection="0"/>
    <xf numFmtId="0" fontId="8" fillId="0" borderId="0" applyNumberFormat="0" applyFill="0" applyBorder="0" applyAlignment="0" applyProtection="0"/>
    <xf numFmtId="0" fontId="15" fillId="5" borderId="12" applyNumberFormat="0" applyAlignment="0" applyProtection="0"/>
    <xf numFmtId="0" fontId="19" fillId="0" borderId="0"/>
    <xf numFmtId="164" fontId="19" fillId="0" borderId="0" applyBorder="0" applyProtection="0"/>
    <xf numFmtId="166" fontId="19" fillId="0" borderId="0" applyBorder="0" applyProtection="0"/>
    <xf numFmtId="0" fontId="21" fillId="0" borderId="0" applyBorder="0" applyProtection="0"/>
    <xf numFmtId="0" fontId="22" fillId="6" borderId="12" applyProtection="0"/>
  </cellStyleXfs>
  <cellXfs count="397">
    <xf numFmtId="0" fontId="0" fillId="0" borderId="0" xfId="0"/>
    <xf numFmtId="0" fontId="3" fillId="0" borderId="0" xfId="0" applyFont="1"/>
    <xf numFmtId="0" fontId="0" fillId="0" borderId="0" xfId="0" applyBorder="1"/>
    <xf numFmtId="0" fontId="4" fillId="0" borderId="0" xfId="0" applyFont="1"/>
    <xf numFmtId="0" fontId="3" fillId="0" borderId="0" xfId="0" applyFont="1" applyAlignment="1">
      <alignment horizontal="center"/>
    </xf>
    <xf numFmtId="0" fontId="3" fillId="0" borderId="1" xfId="0" applyFont="1" applyBorder="1"/>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0" fillId="0" borderId="0" xfId="0" applyFont="1" applyAlignment="1">
      <alignment horizontal="center"/>
    </xf>
    <xf numFmtId="1" fontId="3" fillId="0" borderId="0" xfId="0" applyNumberFormat="1" applyFont="1" applyAlignment="1">
      <alignment horizontal="center"/>
    </xf>
    <xf numFmtId="0" fontId="0" fillId="0" borderId="0" xfId="0" applyFont="1"/>
    <xf numFmtId="1" fontId="0" fillId="0" borderId="0" xfId="0" applyNumberFormat="1" applyFont="1" applyAlignment="1">
      <alignment horizontal="center"/>
    </xf>
    <xf numFmtId="0" fontId="0" fillId="0" borderId="0" xfId="0" applyAlignment="1">
      <alignment horizontal="center"/>
    </xf>
    <xf numFmtId="0" fontId="1" fillId="0" borderId="0" xfId="0" applyFont="1"/>
    <xf numFmtId="0" fontId="7" fillId="0" borderId="0" xfId="0" applyFont="1"/>
    <xf numFmtId="0" fontId="3" fillId="0" borderId="4" xfId="0" applyFont="1" applyBorder="1"/>
    <xf numFmtId="0" fontId="0" fillId="0" borderId="3" xfId="0" applyBorder="1"/>
    <xf numFmtId="0" fontId="0" fillId="0" borderId="3" xfId="0" applyFont="1" applyBorder="1"/>
    <xf numFmtId="0" fontId="3" fillId="0" borderId="1" xfId="0" applyFont="1" applyBorder="1" applyAlignment="1">
      <alignment wrapText="1"/>
    </xf>
    <xf numFmtId="0" fontId="3" fillId="0" borderId="1" xfId="0" applyFont="1" applyBorder="1" applyAlignment="1">
      <alignment horizontal="center" wrapText="1"/>
    </xf>
    <xf numFmtId="0" fontId="3" fillId="0" borderId="0" xfId="0" applyFont="1" applyAlignment="1">
      <alignment wrapText="1"/>
    </xf>
    <xf numFmtId="0" fontId="0" fillId="0" borderId="0" xfId="0" applyFont="1" applyAlignment="1">
      <alignment wrapText="1"/>
    </xf>
    <xf numFmtId="0" fontId="0" fillId="0" borderId="3" xfId="0" applyBorder="1" applyAlignment="1">
      <alignment horizontal="left"/>
    </xf>
    <xf numFmtId="0" fontId="7" fillId="0" borderId="0" xfId="0" applyFont="1" applyBorder="1"/>
    <xf numFmtId="0" fontId="2" fillId="0" borderId="0" xfId="0" applyFont="1"/>
    <xf numFmtId="0" fontId="7" fillId="0" borderId="0" xfId="0" applyFont="1" applyAlignment="1">
      <alignment horizontal="center"/>
    </xf>
    <xf numFmtId="1" fontId="7" fillId="0" borderId="3" xfId="0" applyNumberFormat="1" applyFont="1" applyBorder="1"/>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 fontId="7" fillId="0" borderId="0" xfId="0" applyNumberFormat="1" applyFont="1" applyAlignment="1">
      <alignment horizontal="center"/>
    </xf>
    <xf numFmtId="0" fontId="11" fillId="0" borderId="0" xfId="0" applyFont="1" applyBorder="1" applyAlignment="1">
      <alignment horizontal="left"/>
    </xf>
    <xf numFmtId="0" fontId="1" fillId="0" borderId="1" xfId="0" applyFont="1" applyBorder="1"/>
    <xf numFmtId="0" fontId="0" fillId="0" borderId="0" xfId="0" applyBorder="1" applyAlignment="1">
      <alignment horizontal="center"/>
    </xf>
    <xf numFmtId="0" fontId="14" fillId="0" borderId="1" xfId="0" applyFont="1" applyBorder="1" applyAlignment="1">
      <alignment wrapText="1"/>
    </xf>
    <xf numFmtId="0" fontId="0" fillId="0" borderId="0" xfId="0" applyAlignment="1">
      <alignment horizontal="left"/>
    </xf>
    <xf numFmtId="1" fontId="7" fillId="0" borderId="0" xfId="0" applyNumberFormat="1" applyFont="1" applyBorder="1"/>
    <xf numFmtId="0" fontId="2" fillId="0" borderId="7" xfId="0" applyFont="1" applyBorder="1" applyAlignment="1">
      <alignment horizontal="center" vertical="center" wrapText="1"/>
    </xf>
    <xf numFmtId="1" fontId="2" fillId="0" borderId="6" xfId="0" applyNumberFormat="1" applyFont="1" applyBorder="1" applyAlignment="1">
      <alignment horizontal="center"/>
    </xf>
    <xf numFmtId="0" fontId="0" fillId="0" borderId="6" xfId="0" applyBorder="1"/>
    <xf numFmtId="0" fontId="0" fillId="0" borderId="7" xfId="0" applyBorder="1"/>
    <xf numFmtId="1" fontId="0" fillId="0" borderId="11" xfId="0" applyNumberFormat="1" applyFont="1" applyBorder="1" applyAlignment="1">
      <alignment horizontal="center"/>
    </xf>
    <xf numFmtId="0" fontId="3" fillId="0" borderId="0" xfId="0" applyFont="1" applyAlignment="1">
      <alignment horizontal="left"/>
    </xf>
    <xf numFmtId="0" fontId="0" fillId="0" borderId="4" xfId="0" applyBorder="1"/>
    <xf numFmtId="0" fontId="0" fillId="0" borderId="3" xfId="0" applyFill="1" applyBorder="1"/>
    <xf numFmtId="0" fontId="0" fillId="0" borderId="0" xfId="0" applyFill="1" applyBorder="1"/>
    <xf numFmtId="0" fontId="15" fillId="0" borderId="0" xfId="5" applyFill="1" applyBorder="1"/>
    <xf numFmtId="1" fontId="2" fillId="0" borderId="0" xfId="0" applyNumberFormat="1" applyFont="1" applyBorder="1" applyAlignment="1">
      <alignment wrapText="1"/>
    </xf>
    <xf numFmtId="0" fontId="2" fillId="0" borderId="0" xfId="0" applyFont="1" applyBorder="1" applyAlignment="1">
      <alignment wrapText="1"/>
    </xf>
    <xf numFmtId="0" fontId="2" fillId="0" borderId="0" xfId="0" applyFont="1" applyBorder="1"/>
    <xf numFmtId="0" fontId="16" fillId="0" borderId="1" xfId="0" applyFont="1" applyBorder="1" applyAlignment="1">
      <alignment horizontal="left"/>
    </xf>
    <xf numFmtId="0" fontId="0" fillId="0" borderId="1" xfId="0" applyFont="1" applyBorder="1" applyAlignment="1">
      <alignment horizontal="center"/>
    </xf>
    <xf numFmtId="0" fontId="0" fillId="0" borderId="7" xfId="0" applyFont="1" applyBorder="1" applyAlignment="1">
      <alignment horizontal="center"/>
    </xf>
    <xf numFmtId="0" fontId="3" fillId="0" borderId="3" xfId="0" applyFont="1" applyFill="1" applyBorder="1"/>
    <xf numFmtId="0" fontId="3" fillId="0" borderId="0" xfId="0" applyFont="1" applyFill="1" applyBorder="1"/>
    <xf numFmtId="1" fontId="7" fillId="0" borderId="1" xfId="0" applyNumberFormat="1" applyFont="1" applyBorder="1"/>
    <xf numFmtId="0" fontId="3" fillId="0" borderId="3" xfId="0" applyFont="1" applyBorder="1"/>
    <xf numFmtId="0" fontId="0" fillId="0" borderId="4" xfId="0" applyFont="1" applyBorder="1"/>
    <xf numFmtId="0" fontId="7" fillId="0" borderId="1" xfId="0" applyFont="1" applyBorder="1"/>
    <xf numFmtId="0" fontId="0" fillId="0" borderId="0" xfId="0" applyBorder="1" applyAlignment="1">
      <alignment wrapText="1"/>
    </xf>
    <xf numFmtId="0" fontId="0" fillId="0" borderId="0" xfId="0" applyBorder="1" applyAlignment="1"/>
    <xf numFmtId="0" fontId="0" fillId="0" borderId="0" xfId="0" applyAlignment="1"/>
    <xf numFmtId="0" fontId="0" fillId="0" borderId="0" xfId="0" applyAlignment="1">
      <alignment wrapText="1"/>
    </xf>
    <xf numFmtId="0" fontId="0" fillId="0" borderId="9" xfId="0" applyBorder="1"/>
    <xf numFmtId="0" fontId="3" fillId="0" borderId="1" xfId="0" applyFont="1" applyFill="1" applyBorder="1" applyAlignment="1">
      <alignment horizontal="center" wrapText="1"/>
    </xf>
    <xf numFmtId="1" fontId="0" fillId="0" borderId="0" xfId="0" applyNumberFormat="1" applyFill="1" applyAlignment="1">
      <alignment horizontal="center"/>
    </xf>
    <xf numFmtId="0" fontId="0" fillId="0" borderId="0" xfId="0" applyFill="1" applyAlignment="1">
      <alignment horizontal="center"/>
    </xf>
    <xf numFmtId="1" fontId="3" fillId="0" borderId="0" xfId="0" applyNumberFormat="1" applyFont="1" applyFill="1" applyAlignment="1">
      <alignment horizontal="center"/>
    </xf>
    <xf numFmtId="0" fontId="0" fillId="0" borderId="0" xfId="0" applyFill="1" applyBorder="1" applyAlignment="1">
      <alignment horizontal="center"/>
    </xf>
    <xf numFmtId="0" fontId="0" fillId="0" borderId="0" xfId="0" applyAlignment="1"/>
    <xf numFmtId="0" fontId="4" fillId="0" borderId="1" xfId="0" applyFont="1" applyBorder="1"/>
    <xf numFmtId="0" fontId="3" fillId="0" borderId="4" xfId="0" applyFont="1" applyBorder="1" applyAlignment="1">
      <alignment horizontal="center"/>
    </xf>
    <xf numFmtId="0" fontId="0" fillId="0" borderId="3" xfId="0" applyBorder="1" applyAlignment="1">
      <alignment horizontal="center"/>
    </xf>
    <xf numFmtId="2" fontId="0" fillId="0" borderId="3" xfId="0" applyNumberFormat="1" applyBorder="1" applyAlignment="1">
      <alignment horizontal="center"/>
    </xf>
    <xf numFmtId="2" fontId="3" fillId="0" borderId="3" xfId="0" applyNumberFormat="1" applyFont="1" applyBorder="1" applyAlignment="1">
      <alignment horizontal="center"/>
    </xf>
    <xf numFmtId="2" fontId="0" fillId="0" borderId="4" xfId="0" applyNumberFormat="1" applyBorder="1" applyAlignment="1">
      <alignment horizontal="center"/>
    </xf>
    <xf numFmtId="167" fontId="0" fillId="0" borderId="0" xfId="0" applyNumberFormat="1" applyAlignment="1">
      <alignment horizontal="center"/>
    </xf>
    <xf numFmtId="0" fontId="13" fillId="0" borderId="3" xfId="4" applyFont="1" applyBorder="1"/>
    <xf numFmtId="2" fontId="0" fillId="0" borderId="1" xfId="0" applyNumberFormat="1" applyFont="1" applyBorder="1"/>
    <xf numFmtId="167" fontId="0" fillId="0" borderId="1" xfId="0" applyNumberFormat="1" applyFont="1" applyBorder="1" applyAlignment="1">
      <alignment horizontal="center"/>
    </xf>
    <xf numFmtId="167" fontId="0" fillId="0" borderId="0" xfId="0" applyNumberFormat="1" applyFont="1" applyAlignment="1">
      <alignment horizontal="center"/>
    </xf>
    <xf numFmtId="0" fontId="3" fillId="0" borderId="0" xfId="0" applyFont="1" applyBorder="1"/>
    <xf numFmtId="1" fontId="2" fillId="0" borderId="0" xfId="0" applyNumberFormat="1" applyFont="1" applyBorder="1"/>
    <xf numFmtId="0" fontId="0" fillId="0" borderId="3" xfId="0" applyFont="1" applyBorder="1" applyAlignment="1">
      <alignment horizontal="left"/>
    </xf>
    <xf numFmtId="0" fontId="0" fillId="0" borderId="0" xfId="0" applyFont="1" applyBorder="1" applyAlignment="1">
      <alignment horizontal="left"/>
    </xf>
    <xf numFmtId="167" fontId="3" fillId="4" borderId="0" xfId="0" applyNumberFormat="1" applyFont="1" applyFill="1" applyAlignment="1">
      <alignment horizontal="center"/>
    </xf>
    <xf numFmtId="1" fontId="2" fillId="0" borderId="1" xfId="0" applyNumberFormat="1" applyFont="1" applyBorder="1"/>
    <xf numFmtId="0" fontId="4" fillId="0" borderId="7" xfId="0" applyFont="1" applyBorder="1"/>
    <xf numFmtId="0" fontId="2" fillId="0" borderId="3" xfId="0" applyFont="1" applyBorder="1"/>
    <xf numFmtId="0" fontId="1" fillId="0" borderId="9" xfId="0" applyFont="1" applyBorder="1"/>
    <xf numFmtId="0" fontId="18" fillId="4" borderId="0" xfId="0" applyFont="1" applyFill="1" applyAlignment="1">
      <alignment horizontal="center"/>
    </xf>
    <xf numFmtId="0" fontId="4" fillId="0" borderId="1" xfId="0" applyFont="1" applyBorder="1" applyAlignment="1">
      <alignment horizontal="left"/>
    </xf>
    <xf numFmtId="0" fontId="1" fillId="0" borderId="1" xfId="0" applyFont="1" applyBorder="1" applyAlignment="1">
      <alignment horizontal="left"/>
    </xf>
    <xf numFmtId="0" fontId="0" fillId="0" borderId="4" xfId="0" applyFont="1" applyBorder="1" applyAlignment="1">
      <alignment horizontal="center"/>
    </xf>
    <xf numFmtId="0" fontId="8" fillId="0" borderId="3" xfId="4" applyBorder="1"/>
    <xf numFmtId="0" fontId="7" fillId="0" borderId="3" xfId="0" applyFont="1" applyBorder="1"/>
    <xf numFmtId="0" fontId="7" fillId="0" borderId="3" xfId="0" applyFont="1" applyFill="1" applyBorder="1"/>
    <xf numFmtId="0" fontId="23" fillId="0" borderId="0" xfId="0" applyFont="1" applyAlignment="1">
      <alignment horizontal="left"/>
    </xf>
    <xf numFmtId="168" fontId="23" fillId="0" borderId="0" xfId="0" applyNumberFormat="1" applyFont="1"/>
    <xf numFmtId="0" fontId="23" fillId="0" borderId="0" xfId="0" applyFont="1"/>
    <xf numFmtId="49" fontId="23" fillId="0" borderId="0" xfId="0" applyNumberFormat="1" applyFont="1" applyAlignment="1">
      <alignment horizontal="center" vertical="center" wrapText="1"/>
    </xf>
    <xf numFmtId="168" fontId="23" fillId="0" borderId="0" xfId="0" applyNumberFormat="1" applyFont="1" applyAlignment="1">
      <alignment horizontal="center" vertical="center" wrapText="1"/>
    </xf>
    <xf numFmtId="168" fontId="0" fillId="0" borderId="0" xfId="0" applyNumberFormat="1" applyAlignment="1">
      <alignment horizontal="right" vertical="center" wrapText="1"/>
    </xf>
    <xf numFmtId="167" fontId="23" fillId="0" borderId="0" xfId="0" applyNumberFormat="1" applyFont="1"/>
    <xf numFmtId="49" fontId="0" fillId="0" borderId="0" xfId="0" applyNumberFormat="1" applyAlignment="1">
      <alignment horizontal="center"/>
    </xf>
    <xf numFmtId="168" fontId="0" fillId="0" borderId="0" xfId="0" applyNumberFormat="1"/>
    <xf numFmtId="167" fontId="0" fillId="0" borderId="0" xfId="0" applyNumberFormat="1"/>
    <xf numFmtId="167" fontId="3" fillId="0" borderId="0" xfId="0" applyNumberFormat="1" applyFont="1"/>
    <xf numFmtId="49" fontId="0" fillId="0" borderId="1" xfId="0" applyNumberFormat="1" applyBorder="1" applyAlignment="1">
      <alignment horizontal="center"/>
    </xf>
    <xf numFmtId="168" fontId="0" fillId="0" borderId="1" xfId="0" applyNumberFormat="1" applyBorder="1"/>
    <xf numFmtId="0" fontId="23" fillId="0" borderId="3" xfId="0" applyFont="1" applyBorder="1"/>
    <xf numFmtId="0" fontId="2" fillId="0" borderId="4" xfId="0" applyFont="1" applyBorder="1"/>
    <xf numFmtId="0" fontId="3" fillId="0" borderId="0" xfId="0" applyFont="1" applyProtection="1">
      <protection locked="0"/>
    </xf>
    <xf numFmtId="0" fontId="0" fillId="0" borderId="0" xfId="0" applyProtection="1">
      <protection locked="0"/>
    </xf>
    <xf numFmtId="0" fontId="7" fillId="0" borderId="0" xfId="0" applyFont="1" applyAlignment="1" applyProtection="1">
      <protection locked="0"/>
    </xf>
    <xf numFmtId="0" fontId="7" fillId="0" borderId="0" xfId="0" applyFont="1" applyAlignment="1" applyProtection="1">
      <alignment wrapText="1"/>
      <protection locked="0"/>
    </xf>
    <xf numFmtId="0" fontId="2" fillId="0" borderId="0" xfId="0" applyFont="1" applyAlignment="1" applyProtection="1">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wrapText="1"/>
      <protection locked="0"/>
    </xf>
    <xf numFmtId="9" fontId="3" fillId="0" borderId="3"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 xfId="0" applyFont="1" applyBorder="1" applyProtection="1">
      <protection locked="0"/>
    </xf>
    <xf numFmtId="0" fontId="0" fillId="0" borderId="1" xfId="0" applyBorder="1" applyProtection="1">
      <protection locked="0"/>
    </xf>
    <xf numFmtId="0" fontId="3" fillId="0" borderId="1" xfId="0" applyFont="1" applyBorder="1" applyAlignment="1" applyProtection="1">
      <alignment wrapText="1"/>
      <protection locked="0"/>
    </xf>
    <xf numFmtId="2" fontId="3" fillId="0" borderId="1" xfId="0" applyNumberFormat="1" applyFont="1" applyBorder="1" applyAlignment="1" applyProtection="1">
      <alignment horizontal="center" wrapText="1"/>
      <protection locked="0"/>
    </xf>
    <xf numFmtId="1" fontId="3" fillId="0" borderId="4" xfId="0" applyNumberFormat="1"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10" xfId="0" applyFont="1" applyBorder="1" applyAlignment="1" applyProtection="1">
      <alignment horizontal="center" wrapText="1"/>
      <protection locked="0"/>
    </xf>
    <xf numFmtId="167" fontId="13" fillId="0" borderId="0" xfId="4" applyNumberFormat="1" applyFont="1" applyBorder="1" applyProtection="1">
      <protection locked="0"/>
    </xf>
    <xf numFmtId="0" fontId="0" fillId="0" borderId="0" xfId="0" applyAlignment="1" applyProtection="1">
      <alignment wrapText="1"/>
      <protection locked="0"/>
    </xf>
    <xf numFmtId="2" fontId="0" fillId="0" borderId="0" xfId="0" applyNumberFormat="1" applyAlignment="1" applyProtection="1">
      <alignment horizontal="center"/>
      <protection locked="0"/>
    </xf>
    <xf numFmtId="1" fontId="0" fillId="0" borderId="3" xfId="0" applyNumberFormat="1" applyBorder="1" applyProtection="1">
      <protection locked="0"/>
    </xf>
    <xf numFmtId="1" fontId="0" fillId="0" borderId="6" xfId="0" applyNumberFormat="1" applyBorder="1" applyProtection="1">
      <protection locked="0"/>
    </xf>
    <xf numFmtId="0" fontId="0" fillId="0" borderId="5" xfId="0" applyBorder="1" applyAlignment="1" applyProtection="1">
      <alignment horizontal="center"/>
      <protection locked="0"/>
    </xf>
    <xf numFmtId="167" fontId="10" fillId="0" borderId="0" xfId="0" applyNumberFormat="1" applyFont="1" applyBorder="1" applyProtection="1">
      <protection locked="0"/>
    </xf>
    <xf numFmtId="0" fontId="10" fillId="0" borderId="0" xfId="0" applyFont="1" applyProtection="1">
      <protection locked="0"/>
    </xf>
    <xf numFmtId="167" fontId="0" fillId="0" borderId="0" xfId="0" applyNumberFormat="1" applyFont="1" applyBorder="1" applyProtection="1">
      <protection locked="0"/>
    </xf>
    <xf numFmtId="2" fontId="0" fillId="0" borderId="1" xfId="0" applyNumberFormat="1" applyBorder="1" applyAlignment="1" applyProtection="1">
      <alignment horizontal="center"/>
      <protection locked="0"/>
    </xf>
    <xf numFmtId="1" fontId="0" fillId="0" borderId="4" xfId="0" applyNumberFormat="1" applyBorder="1" applyProtection="1">
      <protection locked="0"/>
    </xf>
    <xf numFmtId="1" fontId="0" fillId="0" borderId="7" xfId="0" applyNumberFormat="1" applyBorder="1" applyProtection="1">
      <protection locked="0"/>
    </xf>
    <xf numFmtId="0" fontId="0" fillId="0" borderId="10" xfId="0" applyBorder="1" applyAlignment="1" applyProtection="1">
      <alignment horizontal="center"/>
      <protection locked="0"/>
    </xf>
    <xf numFmtId="1" fontId="3" fillId="0" borderId="3" xfId="0" applyNumberFormat="1" applyFont="1" applyBorder="1" applyProtection="1">
      <protection locked="0"/>
    </xf>
    <xf numFmtId="1" fontId="3" fillId="4" borderId="8" xfId="0" applyNumberFormat="1" applyFont="1" applyFill="1" applyBorder="1" applyProtection="1">
      <protection locked="0"/>
    </xf>
    <xf numFmtId="0" fontId="9" fillId="0" borderId="0" xfId="4" applyFont="1" applyBorder="1" applyProtection="1">
      <protection locked="0"/>
    </xf>
    <xf numFmtId="1" fontId="3" fillId="0" borderId="6" xfId="0" applyNumberFormat="1" applyFont="1" applyFill="1" applyBorder="1" applyProtection="1">
      <protection locked="0"/>
    </xf>
    <xf numFmtId="0" fontId="11" fillId="0" borderId="0" xfId="4" applyFont="1" applyBorder="1" applyProtection="1">
      <protection locked="0"/>
    </xf>
    <xf numFmtId="0" fontId="0" fillId="0" borderId="0" xfId="0" applyAlignment="1" applyProtection="1">
      <alignment horizontal="center"/>
      <protection locked="0"/>
    </xf>
    <xf numFmtId="0" fontId="0" fillId="0" borderId="3" xfId="0" applyBorder="1" applyProtection="1">
      <protection locked="0"/>
    </xf>
    <xf numFmtId="0" fontId="7" fillId="0" borderId="0" xfId="0" applyFont="1" applyBorder="1" applyProtection="1">
      <protection locked="0"/>
    </xf>
    <xf numFmtId="0" fontId="0" fillId="0" borderId="0" xfId="0" applyBorder="1" applyProtection="1">
      <protection locked="0"/>
    </xf>
    <xf numFmtId="1" fontId="0" fillId="0" borderId="0" xfId="0" applyNumberFormat="1" applyBorder="1" applyProtection="1">
      <protection locked="0"/>
    </xf>
    <xf numFmtId="0" fontId="0" fillId="0" borderId="6" xfId="0" applyBorder="1" applyAlignment="1" applyProtection="1">
      <alignment horizontal="center"/>
      <protection locked="0"/>
    </xf>
    <xf numFmtId="165" fontId="0" fillId="0" borderId="6" xfId="1" applyNumberFormat="1" applyFont="1" applyBorder="1" applyAlignment="1" applyProtection="1">
      <alignment horizontal="center"/>
      <protection locked="0"/>
    </xf>
    <xf numFmtId="0" fontId="3" fillId="0" borderId="1" xfId="0" applyFont="1" applyBorder="1" applyAlignment="1" applyProtection="1">
      <alignment horizontal="center"/>
      <protection locked="0"/>
    </xf>
    <xf numFmtId="164" fontId="3" fillId="0" borderId="1" xfId="1" applyFont="1" applyBorder="1" applyAlignment="1" applyProtection="1">
      <alignment horizontal="center" wrapText="1"/>
      <protection locked="0"/>
    </xf>
    <xf numFmtId="0" fontId="0" fillId="0" borderId="1" xfId="0" applyBorder="1" applyAlignment="1" applyProtection="1">
      <alignment wrapText="1"/>
      <protection locked="0"/>
    </xf>
    <xf numFmtId="0" fontId="3" fillId="0" borderId="7" xfId="0" applyFont="1" applyBorder="1" applyAlignment="1" applyProtection="1">
      <alignment horizontal="center" wrapText="1"/>
      <protection locked="0"/>
    </xf>
    <xf numFmtId="2" fontId="0" fillId="0" borderId="6" xfId="0" applyNumberFormat="1" applyBorder="1" applyAlignment="1" applyProtection="1">
      <alignment horizontal="center"/>
      <protection locked="0"/>
    </xf>
    <xf numFmtId="0" fontId="13" fillId="0" borderId="0" xfId="4" applyFont="1" applyProtection="1">
      <protection locked="0"/>
    </xf>
    <xf numFmtId="0" fontId="9" fillId="0" borderId="0" xfId="4" applyFont="1" applyProtection="1">
      <protection locked="0"/>
    </xf>
    <xf numFmtId="9" fontId="0" fillId="0" borderId="0" xfId="0" applyNumberFormat="1" applyProtection="1">
      <protection locked="0"/>
    </xf>
    <xf numFmtId="11" fontId="0" fillId="0" borderId="0" xfId="1" applyNumberFormat="1" applyFont="1" applyBorder="1" applyAlignment="1" applyProtection="1">
      <protection locked="0"/>
    </xf>
    <xf numFmtId="11" fontId="0" fillId="0" borderId="0" xfId="0" applyNumberFormat="1" applyProtection="1">
      <protection locked="0"/>
    </xf>
    <xf numFmtId="0" fontId="0" fillId="0" borderId="1" xfId="0" applyBorder="1" applyAlignment="1" applyProtection="1">
      <alignment horizontal="center"/>
      <protection locked="0"/>
    </xf>
    <xf numFmtId="0" fontId="0" fillId="0" borderId="1" xfId="0" applyFont="1" applyBorder="1" applyProtection="1">
      <protection locked="0"/>
    </xf>
    <xf numFmtId="2" fontId="0" fillId="0" borderId="7" xfId="0" applyNumberFormat="1" applyBorder="1" applyAlignment="1" applyProtection="1">
      <alignment horizontal="center"/>
      <protection locked="0"/>
    </xf>
    <xf numFmtId="165" fontId="0" fillId="0" borderId="0" xfId="1" applyNumberFormat="1" applyFont="1" applyBorder="1" applyAlignment="1" applyProtection="1">
      <protection locked="0"/>
    </xf>
    <xf numFmtId="0" fontId="3" fillId="0" borderId="0" xfId="0" applyFont="1" applyAlignment="1" applyProtection="1">
      <alignment horizontal="right"/>
      <protection locked="0"/>
    </xf>
    <xf numFmtId="2" fontId="3" fillId="0" borderId="6" xfId="0" applyNumberFormat="1" applyFont="1" applyBorder="1" applyAlignment="1" applyProtection="1">
      <alignment horizontal="center"/>
      <protection locked="0"/>
    </xf>
    <xf numFmtId="0" fontId="0" fillId="0" borderId="6" xfId="0" applyBorder="1" applyAlignment="1" applyProtection="1">
      <alignment horizontal="left"/>
      <protection locked="0"/>
    </xf>
    <xf numFmtId="164" fontId="0" fillId="0" borderId="0" xfId="1" applyFont="1" applyBorder="1" applyAlignment="1" applyProtection="1">
      <protection locked="0"/>
    </xf>
    <xf numFmtId="9" fontId="0" fillId="0" borderId="7" xfId="0" applyNumberFormat="1" applyBorder="1" applyAlignment="1" applyProtection="1">
      <alignment horizontal="center"/>
      <protection locked="0"/>
    </xf>
    <xf numFmtId="164" fontId="17" fillId="0" borderId="0" xfId="4" applyNumberFormat="1" applyFont="1" applyProtection="1">
      <protection locked="0"/>
    </xf>
    <xf numFmtId="0" fontId="3" fillId="0" borderId="2" xfId="0" applyFont="1" applyBorder="1" applyProtection="1">
      <protection locked="0"/>
    </xf>
    <xf numFmtId="0" fontId="3" fillId="0" borderId="1" xfId="0" applyFont="1" applyBorder="1" applyAlignment="1" applyProtection="1">
      <alignment horizontal="center" wrapText="1"/>
      <protection locked="0"/>
    </xf>
    <xf numFmtId="0" fontId="0" fillId="0" borderId="3" xfId="0" applyBorder="1" applyAlignment="1" applyProtection="1">
      <alignment horizontal="right"/>
      <protection locked="0"/>
    </xf>
    <xf numFmtId="0" fontId="3" fillId="0" borderId="0" xfId="0" applyFont="1" applyBorder="1" applyAlignment="1" applyProtection="1">
      <alignment horizontal="center" wrapText="1"/>
      <protection locked="0"/>
    </xf>
    <xf numFmtId="2" fontId="0" fillId="0" borderId="9" xfId="0" applyNumberFormat="1" applyFont="1" applyBorder="1" applyAlignment="1" applyProtection="1">
      <alignment horizontal="center" wrapText="1"/>
      <protection locked="0"/>
    </xf>
    <xf numFmtId="2" fontId="0" fillId="0" borderId="0" xfId="1" applyNumberFormat="1" applyFont="1" applyBorder="1" applyAlignment="1" applyProtection="1">
      <alignment horizontal="center"/>
      <protection locked="0"/>
    </xf>
    <xf numFmtId="1" fontId="3" fillId="0" borderId="0" xfId="0" applyNumberFormat="1" applyFont="1" applyAlignment="1" applyProtection="1">
      <alignment horizontal="center"/>
      <protection locked="0"/>
    </xf>
    <xf numFmtId="0" fontId="0" fillId="0" borderId="0" xfId="0" applyFont="1" applyProtection="1">
      <protection locked="0"/>
    </xf>
    <xf numFmtId="2" fontId="0" fillId="0" borderId="1" xfId="0" applyNumberFormat="1" applyFont="1" applyBorder="1" applyAlignment="1" applyProtection="1">
      <alignment horizontal="center"/>
      <protection locked="0"/>
    </xf>
    <xf numFmtId="1" fontId="3" fillId="0" borderId="1" xfId="0" applyNumberFormat="1" applyFont="1" applyBorder="1" applyAlignment="1" applyProtection="1">
      <alignment horizontal="center"/>
      <protection locked="0"/>
    </xf>
    <xf numFmtId="2" fontId="3" fillId="0" borderId="0" xfId="0" applyNumberFormat="1" applyFont="1" applyAlignment="1" applyProtection="1">
      <alignment horizontal="center"/>
      <protection locked="0"/>
    </xf>
    <xf numFmtId="2" fontId="0" fillId="0" borderId="0" xfId="0" applyNumberFormat="1" applyFont="1" applyAlignment="1" applyProtection="1">
      <alignment horizontal="center"/>
      <protection locked="0"/>
    </xf>
    <xf numFmtId="1" fontId="3" fillId="0" borderId="9" xfId="0" applyNumberFormat="1" applyFont="1" applyBorder="1" applyAlignment="1" applyProtection="1">
      <alignment horizontal="center"/>
      <protection locked="0"/>
    </xf>
    <xf numFmtId="0" fontId="0" fillId="0" borderId="0" xfId="0" applyFont="1" applyAlignment="1" applyProtection="1">
      <alignment horizontal="center"/>
      <protection locked="0"/>
    </xf>
    <xf numFmtId="1" fontId="3" fillId="4" borderId="0" xfId="0" applyNumberFormat="1" applyFont="1" applyFill="1" applyBorder="1" applyAlignment="1" applyProtection="1">
      <alignment horizontal="center"/>
      <protection locked="0"/>
    </xf>
    <xf numFmtId="1" fontId="0" fillId="0" borderId="3" xfId="0" applyNumberFormat="1" applyFont="1" applyBorder="1" applyProtection="1">
      <protection locked="0"/>
    </xf>
    <xf numFmtId="1" fontId="0" fillId="0" borderId="0" xfId="0" applyNumberFormat="1" applyAlignment="1" applyProtection="1">
      <alignment horizontal="center"/>
      <protection locked="0"/>
    </xf>
    <xf numFmtId="1" fontId="0" fillId="0" borderId="0" xfId="0" applyNumberFormat="1" applyFont="1" applyAlignment="1" applyProtection="1">
      <alignment horizontal="center"/>
      <protection locked="0"/>
    </xf>
    <xf numFmtId="0" fontId="0" fillId="0" borderId="3" xfId="0" applyFont="1" applyBorder="1" applyProtection="1">
      <protection locked="0"/>
    </xf>
    <xf numFmtId="2" fontId="3" fillId="0" borderId="1" xfId="0" applyNumberFormat="1" applyFont="1" applyBorder="1" applyAlignment="1" applyProtection="1">
      <alignment horizontal="center"/>
      <protection locked="0"/>
    </xf>
    <xf numFmtId="1" fontId="0" fillId="0" borderId="1" xfId="0" applyNumberFormat="1" applyFont="1" applyBorder="1" applyAlignment="1" applyProtection="1">
      <alignment horizontal="center"/>
      <protection locked="0"/>
    </xf>
    <xf numFmtId="1" fontId="3" fillId="0" borderId="0" xfId="0" applyNumberFormat="1" applyFont="1" applyProtection="1">
      <protection locked="0"/>
    </xf>
    <xf numFmtId="1" fontId="3" fillId="4" borderId="2" xfId="0" applyNumberFormat="1" applyFont="1" applyFill="1" applyBorder="1" applyAlignment="1" applyProtection="1">
      <alignment horizontal="center"/>
      <protection locked="0"/>
    </xf>
    <xf numFmtId="0" fontId="7" fillId="0" borderId="0" xfId="0" applyFont="1" applyProtection="1">
      <protection locked="0"/>
    </xf>
    <xf numFmtId="0" fontId="7" fillId="0" borderId="0" xfId="0" applyFont="1" applyAlignment="1" applyProtection="1">
      <alignment horizontal="center"/>
      <protection locked="0"/>
    </xf>
    <xf numFmtId="1" fontId="7" fillId="0" borderId="0" xfId="0" applyNumberFormat="1" applyFont="1" applyProtection="1">
      <protection locked="0"/>
    </xf>
    <xf numFmtId="2" fontId="2" fillId="0" borderId="0" xfId="0" applyNumberFormat="1" applyFont="1" applyAlignment="1" applyProtection="1">
      <alignment horizontal="center"/>
      <protection locked="0"/>
    </xf>
    <xf numFmtId="1" fontId="7" fillId="0" borderId="3" xfId="0" applyNumberFormat="1" applyFont="1" applyBorder="1" applyProtection="1">
      <protection locked="0"/>
    </xf>
    <xf numFmtId="0" fontId="1" fillId="0" borderId="0" xfId="0" applyFont="1" applyProtection="1">
      <protection locked="0"/>
    </xf>
    <xf numFmtId="2" fontId="0" fillId="0" borderId="9" xfId="0" applyNumberFormat="1" applyFont="1" applyBorder="1" applyAlignment="1" applyProtection="1">
      <alignment horizontal="center" vertical="center" wrapText="1"/>
      <protection locked="0"/>
    </xf>
    <xf numFmtId="0" fontId="0" fillId="0" borderId="3" xfId="0" applyBorder="1" applyAlignment="1" applyProtection="1">
      <alignment horizontal="left"/>
      <protection locked="0"/>
    </xf>
    <xf numFmtId="1" fontId="3" fillId="0" borderId="0" xfId="0" applyNumberFormat="1" applyFont="1" applyBorder="1" applyAlignment="1" applyProtection="1">
      <alignment horizontal="center"/>
      <protection locked="0"/>
    </xf>
    <xf numFmtId="1" fontId="0" fillId="0" borderId="0" xfId="0" applyNumberFormat="1" applyFont="1" applyProtection="1">
      <protection locked="0"/>
    </xf>
    <xf numFmtId="1" fontId="0" fillId="0" borderId="0" xfId="0" applyNumberFormat="1" applyFont="1" applyBorder="1" applyAlignment="1" applyProtection="1">
      <alignment horizontal="center"/>
      <protection locked="0"/>
    </xf>
    <xf numFmtId="0" fontId="0" fillId="0" borderId="0" xfId="0" applyFont="1" applyBorder="1" applyProtection="1">
      <protection locked="0"/>
    </xf>
    <xf numFmtId="1" fontId="0" fillId="0" borderId="0" xfId="0" applyNumberFormat="1" applyFont="1" applyBorder="1" applyProtection="1">
      <protection locked="0"/>
    </xf>
    <xf numFmtId="1" fontId="3" fillId="0" borderId="6" xfId="0" applyNumberFormat="1" applyFont="1" applyBorder="1" applyAlignment="1" applyProtection="1">
      <alignment horizontal="center"/>
      <protection locked="0"/>
    </xf>
    <xf numFmtId="0" fontId="1" fillId="0" borderId="9" xfId="0" applyFont="1" applyBorder="1" applyAlignment="1" applyProtection="1">
      <alignment horizontal="center"/>
      <protection locked="0"/>
    </xf>
    <xf numFmtId="1" fontId="1" fillId="0" borderId="9" xfId="0" applyNumberFormat="1" applyFont="1" applyBorder="1" applyProtection="1">
      <protection locked="0"/>
    </xf>
    <xf numFmtId="2" fontId="4" fillId="0" borderId="9" xfId="0" applyNumberFormat="1" applyFont="1" applyBorder="1" applyAlignment="1" applyProtection="1">
      <alignment horizontal="center"/>
      <protection locked="0"/>
    </xf>
    <xf numFmtId="1" fontId="4" fillId="4" borderId="14" xfId="0" applyNumberFormat="1" applyFont="1" applyFill="1" applyBorder="1" applyAlignment="1" applyProtection="1">
      <alignment horizontal="center"/>
      <protection locked="0"/>
    </xf>
    <xf numFmtId="1" fontId="4" fillId="0" borderId="11" xfId="0" applyNumberFormat="1" applyFont="1" applyBorder="1" applyAlignment="1" applyProtection="1">
      <alignment horizontal="center"/>
      <protection locked="0"/>
    </xf>
    <xf numFmtId="1" fontId="1" fillId="0" borderId="3" xfId="0" applyNumberFormat="1" applyFont="1" applyBorder="1" applyProtection="1">
      <protection locked="0"/>
    </xf>
    <xf numFmtId="0" fontId="1" fillId="0" borderId="0" xfId="0" applyFont="1" applyAlignment="1" applyProtection="1">
      <alignment horizontal="center"/>
      <protection locked="0"/>
    </xf>
    <xf numFmtId="1" fontId="1" fillId="0" borderId="0" xfId="0" applyNumberFormat="1" applyFont="1" applyProtection="1">
      <protection locked="0"/>
    </xf>
    <xf numFmtId="2" fontId="1" fillId="0" borderId="0" xfId="0" applyNumberFormat="1" applyFont="1" applyAlignment="1" applyProtection="1">
      <alignment horizontal="center"/>
      <protection locked="0"/>
    </xf>
    <xf numFmtId="1" fontId="1" fillId="0" borderId="0" xfId="0" applyNumberFormat="1" applyFont="1" applyBorder="1" applyProtection="1">
      <protection locked="0"/>
    </xf>
    <xf numFmtId="0" fontId="0" fillId="0" borderId="0" xfId="0" applyBorder="1" applyAlignment="1" applyProtection="1">
      <alignment wrapText="1"/>
      <protection locked="0"/>
    </xf>
    <xf numFmtId="164" fontId="0" fillId="0" borderId="0" xfId="0" applyNumberFormat="1" applyBorder="1" applyAlignment="1" applyProtection="1">
      <alignment horizontal="center"/>
      <protection locked="0"/>
    </xf>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protection locked="0"/>
    </xf>
    <xf numFmtId="1" fontId="3" fillId="0" borderId="4" xfId="0" applyNumberFormat="1" applyFont="1" applyBorder="1" applyProtection="1">
      <protection locked="0"/>
    </xf>
    <xf numFmtId="9" fontId="0" fillId="0" borderId="6" xfId="0" applyNumberFormat="1" applyBorder="1" applyProtection="1">
      <protection locked="0"/>
    </xf>
    <xf numFmtId="2" fontId="0" fillId="0" borderId="5" xfId="0" applyNumberFormat="1" applyBorder="1" applyAlignment="1" applyProtection="1">
      <alignment horizontal="center"/>
      <protection locked="0"/>
    </xf>
    <xf numFmtId="0" fontId="8" fillId="0" borderId="0" xfId="4" applyBorder="1" applyProtection="1">
      <protection locked="0"/>
    </xf>
    <xf numFmtId="9" fontId="0" fillId="0" borderId="7" xfId="0" applyNumberFormat="1" applyBorder="1" applyProtection="1">
      <protection locked="0"/>
    </xf>
    <xf numFmtId="2" fontId="0" fillId="0" borderId="10" xfId="0" applyNumberFormat="1" applyBorder="1" applyAlignment="1" applyProtection="1">
      <alignment horizontal="center"/>
      <protection locked="0"/>
    </xf>
    <xf numFmtId="0" fontId="7" fillId="0" borderId="4" xfId="0" applyFont="1" applyFill="1" applyBorder="1" applyProtection="1">
      <protection locked="0"/>
    </xf>
    <xf numFmtId="11" fontId="0" fillId="0" borderId="1" xfId="1" applyNumberFormat="1" applyFont="1" applyBorder="1" applyAlignment="1" applyProtection="1">
      <protection locked="0"/>
    </xf>
    <xf numFmtId="165" fontId="0" fillId="0" borderId="6" xfId="1" applyNumberFormat="1" applyFont="1" applyBorder="1" applyAlignment="1" applyProtection="1">
      <protection locked="0"/>
    </xf>
    <xf numFmtId="0" fontId="0" fillId="0" borderId="5" xfId="0" applyBorder="1" applyProtection="1">
      <protection locked="0"/>
    </xf>
    <xf numFmtId="0" fontId="7" fillId="0" borderId="0" xfId="0" applyFont="1" applyFill="1" applyBorder="1" applyProtection="1">
      <protection locked="0"/>
    </xf>
    <xf numFmtId="11" fontId="3" fillId="0" borderId="1" xfId="1" applyNumberFormat="1" applyFont="1" applyBorder="1" applyAlignment="1" applyProtection="1">
      <alignment horizontal="center" wrapText="1"/>
      <protection locked="0"/>
    </xf>
    <xf numFmtId="0" fontId="4" fillId="0" borderId="0" xfId="0" applyFont="1" applyProtection="1">
      <protection locked="0"/>
    </xf>
    <xf numFmtId="1" fontId="0" fillId="0" borderId="0" xfId="1" applyNumberFormat="1" applyFont="1" applyBorder="1" applyAlignment="1" applyProtection="1">
      <alignment horizontal="center"/>
      <protection locked="0"/>
    </xf>
    <xf numFmtId="1" fontId="3" fillId="0" borderId="6" xfId="0" applyNumberFormat="1" applyFont="1" applyBorder="1" applyAlignment="1" applyProtection="1">
      <alignment horizontal="right" indent="1"/>
      <protection locked="0"/>
    </xf>
    <xf numFmtId="0" fontId="13" fillId="0" borderId="3" xfId="4" applyFont="1" applyBorder="1" applyAlignment="1" applyProtection="1">
      <alignment vertical="center"/>
      <protection locked="0"/>
    </xf>
    <xf numFmtId="1" fontId="0" fillId="0" borderId="0" xfId="0" applyNumberFormat="1" applyBorder="1" applyAlignment="1" applyProtection="1">
      <alignment horizontal="center"/>
      <protection locked="0"/>
    </xf>
    <xf numFmtId="0" fontId="8" fillId="0" borderId="0" xfId="4" applyAlignment="1" applyProtection="1">
      <alignment vertical="center"/>
      <protection locked="0"/>
    </xf>
    <xf numFmtId="1" fontId="0" fillId="0" borderId="1" xfId="0" applyNumberFormat="1" applyBorder="1" applyAlignment="1" applyProtection="1">
      <alignment horizontal="center"/>
      <protection locked="0"/>
    </xf>
    <xf numFmtId="1" fontId="0" fillId="0" borderId="1" xfId="1" applyNumberFormat="1" applyFont="1" applyBorder="1" applyAlignment="1" applyProtection="1">
      <alignment horizontal="center"/>
      <protection locked="0"/>
    </xf>
    <xf numFmtId="1" fontId="3" fillId="0" borderId="7" xfId="0" applyNumberFormat="1" applyFont="1" applyBorder="1" applyAlignment="1" applyProtection="1">
      <alignment horizontal="right" indent="1"/>
      <protection locked="0"/>
    </xf>
    <xf numFmtId="1" fontId="4" fillId="4" borderId="8" xfId="0" applyNumberFormat="1" applyFont="1" applyFill="1" applyBorder="1" applyAlignment="1" applyProtection="1">
      <alignment horizontal="center"/>
      <protection locked="0"/>
    </xf>
    <xf numFmtId="1" fontId="0" fillId="0" borderId="6" xfId="0" applyNumberFormat="1" applyFont="1" applyBorder="1" applyAlignment="1" applyProtection="1">
      <alignment horizontal="right" indent="1"/>
      <protection locked="0"/>
    </xf>
    <xf numFmtId="1" fontId="4" fillId="0" borderId="6" xfId="0" applyNumberFormat="1" applyFont="1" applyBorder="1" applyAlignment="1" applyProtection="1">
      <alignment horizontal="center"/>
      <protection locked="0"/>
    </xf>
    <xf numFmtId="1" fontId="4" fillId="0" borderId="0" xfId="0" applyNumberFormat="1" applyFont="1" applyAlignment="1" applyProtection="1">
      <alignment horizontal="center"/>
      <protection locked="0"/>
    </xf>
    <xf numFmtId="1" fontId="4" fillId="0" borderId="0" xfId="1" applyNumberFormat="1" applyFont="1" applyBorder="1" applyAlignment="1" applyProtection="1">
      <alignment horizontal="center"/>
      <protection locked="0"/>
    </xf>
    <xf numFmtId="1" fontId="4" fillId="3" borderId="8" xfId="0" applyNumberFormat="1" applyFont="1" applyFill="1" applyBorder="1" applyAlignment="1" applyProtection="1">
      <alignment horizontal="center"/>
      <protection locked="0"/>
    </xf>
    <xf numFmtId="0" fontId="4" fillId="0" borderId="0" xfId="0" applyFont="1" applyBorder="1" applyProtection="1">
      <protection locked="0"/>
    </xf>
    <xf numFmtId="11" fontId="0" fillId="0" borderId="0" xfId="2" applyNumberFormat="1" applyFont="1" applyBorder="1" applyAlignment="1" applyProtection="1">
      <protection locked="0"/>
    </xf>
    <xf numFmtId="0" fontId="8" fillId="0" borderId="0" xfId="4" applyBorder="1" applyAlignment="1" applyProtection="1">
      <alignment wrapText="1"/>
      <protection locked="0"/>
    </xf>
    <xf numFmtId="0" fontId="0" fillId="0" borderId="0" xfId="0" applyAlignment="1" applyProtection="1">
      <protection locked="0"/>
    </xf>
    <xf numFmtId="0" fontId="0" fillId="0" borderId="0" xfId="0" applyBorder="1" applyAlignment="1" applyProtection="1">
      <alignment horizontal="center"/>
      <protection locked="0"/>
    </xf>
    <xf numFmtId="0" fontId="0" fillId="0" borderId="0" xfId="0" applyBorder="1" applyAlignment="1" applyProtection="1">
      <alignment horizontal="left"/>
      <protection locked="0"/>
    </xf>
    <xf numFmtId="0" fontId="0" fillId="0" borderId="9" xfId="0" applyBorder="1" applyProtection="1">
      <protection locked="0"/>
    </xf>
    <xf numFmtId="0" fontId="0" fillId="0" borderId="9" xfId="0" applyBorder="1" applyAlignment="1" applyProtection="1">
      <alignment horizontal="center"/>
      <protection locked="0"/>
    </xf>
    <xf numFmtId="0" fontId="0" fillId="0" borderId="9" xfId="0" applyBorder="1" applyAlignment="1" applyProtection="1">
      <alignment vertical="top"/>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wrapText="1"/>
      <protection locked="0"/>
    </xf>
    <xf numFmtId="0" fontId="0" fillId="0" borderId="0" xfId="0" applyAlignment="1" applyProtection="1">
      <alignment horizontal="center" vertical="center"/>
      <protection locked="0"/>
    </xf>
    <xf numFmtId="1" fontId="0" fillId="0" borderId="0" xfId="0" applyNumberFormat="1" applyAlignment="1" applyProtection="1">
      <alignment horizontal="center" vertical="center"/>
      <protection locked="0"/>
    </xf>
    <xf numFmtId="1" fontId="3" fillId="4" borderId="3" xfId="0" applyNumberFormat="1" applyFont="1" applyFill="1" applyBorder="1" applyAlignment="1" applyProtection="1">
      <alignment horizontal="center"/>
      <protection locked="0"/>
    </xf>
    <xf numFmtId="1" fontId="3" fillId="0" borderId="3" xfId="0" applyNumberFormat="1" applyFont="1" applyBorder="1" applyAlignment="1" applyProtection="1">
      <alignment horizontal="center"/>
      <protection locked="0"/>
    </xf>
    <xf numFmtId="1" fontId="3" fillId="4" borderId="0" xfId="0" applyNumberFormat="1" applyFont="1" applyFill="1" applyAlignment="1" applyProtection="1">
      <alignment horizontal="center"/>
      <protection locked="0"/>
    </xf>
    <xf numFmtId="1" fontId="0" fillId="0" borderId="0" xfId="0" applyNumberFormat="1" applyProtection="1">
      <protection locked="0"/>
    </xf>
    <xf numFmtId="0" fontId="0" fillId="0" borderId="6" xfId="0" applyBorder="1" applyProtection="1">
      <protection locked="0"/>
    </xf>
    <xf numFmtId="0" fontId="0" fillId="0" borderId="7" xfId="0" applyBorder="1" applyProtection="1">
      <protection locked="0"/>
    </xf>
    <xf numFmtId="0" fontId="2" fillId="0" borderId="0" xfId="0" applyFont="1" applyAlignment="1" applyProtection="1">
      <alignment wrapText="1"/>
    </xf>
    <xf numFmtId="0" fontId="3" fillId="0" borderId="1" xfId="0" applyFont="1" applyBorder="1" applyAlignment="1" applyProtection="1">
      <alignment wrapText="1"/>
    </xf>
    <xf numFmtId="0" fontId="3" fillId="0" borderId="0" xfId="0" applyFont="1" applyAlignment="1" applyProtection="1">
      <alignment wrapText="1"/>
    </xf>
    <xf numFmtId="0" fontId="0" fillId="0" borderId="1" xfId="0" applyFont="1" applyBorder="1" applyAlignment="1" applyProtection="1">
      <alignment wrapText="1"/>
    </xf>
    <xf numFmtId="0" fontId="3" fillId="0" borderId="1" xfId="0" applyFont="1" applyBorder="1" applyAlignment="1" applyProtection="1">
      <alignment horizontal="left" wrapText="1"/>
    </xf>
    <xf numFmtId="0" fontId="3" fillId="0" borderId="0" xfId="0" applyFont="1" applyAlignment="1" applyProtection="1">
      <alignment horizontal="left" wrapText="1"/>
    </xf>
    <xf numFmtId="49" fontId="3" fillId="0" borderId="1" xfId="0" applyNumberFormat="1" applyFont="1" applyBorder="1" applyAlignment="1" applyProtection="1">
      <alignment wrapText="1"/>
    </xf>
    <xf numFmtId="0" fontId="3" fillId="0" borderId="0" xfId="0" applyFont="1" applyProtection="1"/>
    <xf numFmtId="0" fontId="4" fillId="0" borderId="1" xfId="0" applyFont="1" applyBorder="1" applyAlignment="1" applyProtection="1">
      <alignment wrapText="1"/>
    </xf>
    <xf numFmtId="0" fontId="0" fillId="0" borderId="0" xfId="0" applyFont="1" applyBorder="1" applyAlignment="1" applyProtection="1">
      <alignment wrapText="1"/>
    </xf>
    <xf numFmtId="0" fontId="0" fillId="0" borderId="1" xfId="0" applyBorder="1" applyAlignment="1" applyProtection="1">
      <alignment wrapText="1"/>
    </xf>
    <xf numFmtId="0" fontId="7" fillId="0" borderId="0" xfId="0" applyFont="1" applyProtection="1"/>
    <xf numFmtId="0" fontId="1" fillId="0" borderId="0" xfId="0" applyFont="1" applyProtection="1"/>
    <xf numFmtId="0" fontId="0" fillId="0" borderId="0" xfId="0" applyFont="1" applyAlignment="1" applyProtection="1">
      <alignment wrapText="1"/>
    </xf>
    <xf numFmtId="0" fontId="3" fillId="0" borderId="9" xfId="0" applyFont="1" applyBorder="1" applyAlignment="1" applyProtection="1">
      <alignment wrapText="1"/>
    </xf>
    <xf numFmtId="0" fontId="0" fillId="0" borderId="0" xfId="0" applyBorder="1" applyAlignment="1" applyProtection="1">
      <alignment wrapText="1"/>
    </xf>
    <xf numFmtId="49" fontId="0" fillId="0" borderId="0" xfId="0" applyNumberFormat="1" applyFont="1" applyAlignment="1" applyProtection="1">
      <alignment wrapText="1"/>
    </xf>
    <xf numFmtId="0" fontId="4" fillId="0" borderId="0" xfId="0" applyFont="1" applyAlignment="1" applyProtection="1">
      <alignment wrapText="1"/>
    </xf>
    <xf numFmtId="0" fontId="0" fillId="0" borderId="0" xfId="0" applyProtection="1"/>
    <xf numFmtId="0" fontId="0" fillId="0" borderId="9" xfId="0" applyBorder="1" applyProtection="1"/>
    <xf numFmtId="0" fontId="14" fillId="0" borderId="1" xfId="0" applyFont="1" applyBorder="1" applyAlignment="1" applyProtection="1">
      <alignment wrapText="1"/>
    </xf>
    <xf numFmtId="0" fontId="0" fillId="0" borderId="1" xfId="0" applyBorder="1" applyProtection="1"/>
    <xf numFmtId="0" fontId="0" fillId="0" borderId="0" xfId="0" applyAlignment="1" applyProtection="1">
      <alignment wrapText="1"/>
    </xf>
    <xf numFmtId="0" fontId="0" fillId="0" borderId="0" xfId="0" applyBorder="1" applyAlignment="1" applyProtection="1">
      <alignment wrapText="1"/>
      <protection locked="0"/>
    </xf>
    <xf numFmtId="0" fontId="0" fillId="0" borderId="0" xfId="0" applyAlignment="1" applyProtection="1">
      <alignment wrapText="1"/>
      <protection locked="0"/>
    </xf>
    <xf numFmtId="0" fontId="5" fillId="0" borderId="0" xfId="0" applyFont="1" applyProtection="1">
      <protection locked="0"/>
    </xf>
    <xf numFmtId="0" fontId="12" fillId="0" borderId="0" xfId="0" applyFont="1" applyProtection="1">
      <protection locked="0"/>
    </xf>
    <xf numFmtId="0" fontId="14" fillId="0" borderId="1" xfId="0" applyFont="1" applyBorder="1" applyAlignment="1" applyProtection="1">
      <alignment wrapText="1"/>
      <protection locked="0"/>
    </xf>
    <xf numFmtId="0" fontId="4" fillId="0" borderId="0" xfId="0" applyFont="1" applyAlignment="1" applyProtection="1">
      <alignment wrapText="1"/>
      <protection locked="0"/>
    </xf>
    <xf numFmtId="0" fontId="0" fillId="0" borderId="0" xfId="0" applyBorder="1" applyProtection="1"/>
    <xf numFmtId="1" fontId="3" fillId="0" borderId="0" xfId="0" applyNumberFormat="1" applyFont="1" applyFill="1" applyBorder="1" applyAlignment="1" applyProtection="1">
      <alignment horizontal="center"/>
      <protection locked="0"/>
    </xf>
    <xf numFmtId="0" fontId="7" fillId="0" borderId="4" xfId="0" applyFont="1" applyBorder="1"/>
    <xf numFmtId="1" fontId="3" fillId="0" borderId="0" xfId="0" applyNumberFormat="1" applyFont="1" applyBorder="1" applyAlignment="1">
      <alignment horizontal="center"/>
    </xf>
    <xf numFmtId="0" fontId="3" fillId="0" borderId="0" xfId="0" applyFont="1" applyBorder="1" applyAlignment="1">
      <alignment horizontal="center" wrapText="1"/>
    </xf>
    <xf numFmtId="0" fontId="0" fillId="0" borderId="13" xfId="0" applyBorder="1"/>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4" xfId="0" applyFont="1" applyBorder="1" applyAlignment="1">
      <alignment horizontal="center" vertical="center"/>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3" xfId="0" applyFont="1" applyBorder="1" applyAlignment="1">
      <alignment horizontal="center" vertical="center"/>
    </xf>
    <xf numFmtId="0" fontId="0" fillId="0" borderId="3" xfId="0" applyFont="1" applyBorder="1" applyAlignment="1">
      <alignment horizontal="center"/>
    </xf>
    <xf numFmtId="2" fontId="0" fillId="0" borderId="4" xfId="0" applyNumberFormat="1" applyFont="1" applyBorder="1" applyAlignment="1">
      <alignment horizontal="center"/>
    </xf>
    <xf numFmtId="0" fontId="3" fillId="0" borderId="0" xfId="0" applyFont="1" applyAlignment="1">
      <alignment vertical="center"/>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0" borderId="1" xfId="0" applyFont="1" applyBorder="1" applyAlignment="1">
      <alignment horizontal="center" vertical="center" wrapText="1"/>
    </xf>
    <xf numFmtId="0" fontId="0" fillId="0" borderId="0" xfId="0" applyFont="1" applyFill="1" applyBorder="1"/>
    <xf numFmtId="1" fontId="0" fillId="0" borderId="0" xfId="0" applyNumberFormat="1" applyAlignment="1">
      <alignment horizontal="center"/>
    </xf>
    <xf numFmtId="1" fontId="3" fillId="0" borderId="0" xfId="0" applyNumberFormat="1" applyFont="1"/>
    <xf numFmtId="1" fontId="0" fillId="0" borderId="0" xfId="0" applyNumberFormat="1" applyAlignment="1">
      <alignment horizontal="center" vertical="center"/>
    </xf>
    <xf numFmtId="167" fontId="0" fillId="0" borderId="0" xfId="0" applyNumberFormat="1" applyAlignment="1">
      <alignment horizontal="center" vertical="center"/>
    </xf>
    <xf numFmtId="1" fontId="3" fillId="0" borderId="0" xfId="0" applyNumberFormat="1" applyFont="1" applyAlignment="1">
      <alignment horizontal="center" vertical="center"/>
    </xf>
    <xf numFmtId="167" fontId="3" fillId="4" borderId="0" xfId="0" applyNumberFormat="1" applyFont="1" applyFill="1" applyAlignment="1">
      <alignment horizontal="center" vertical="center"/>
    </xf>
    <xf numFmtId="0" fontId="0" fillId="0" borderId="1" xfId="0" applyFont="1" applyFill="1" applyBorder="1"/>
    <xf numFmtId="1" fontId="0" fillId="0" borderId="1" xfId="0" applyNumberFormat="1" applyBorder="1" applyAlignment="1">
      <alignment horizontal="center" vertical="center"/>
    </xf>
    <xf numFmtId="1" fontId="0" fillId="0" borderId="1" xfId="0" applyNumberFormat="1" applyBorder="1" applyAlignment="1">
      <alignment horizontal="center"/>
    </xf>
    <xf numFmtId="167" fontId="0" fillId="0" borderId="1" xfId="0" applyNumberFormat="1" applyBorder="1" applyAlignment="1">
      <alignment horizontal="center" vertical="center"/>
    </xf>
    <xf numFmtId="0" fontId="3" fillId="0" borderId="4" xfId="0" applyFont="1" applyBorder="1" applyAlignment="1">
      <alignment wrapText="1"/>
    </xf>
    <xf numFmtId="0" fontId="8" fillId="0" borderId="4" xfId="4" applyBorder="1"/>
    <xf numFmtId="9" fontId="0" fillId="0" borderId="0" xfId="0" applyNumberFormat="1" applyAlignment="1">
      <alignment horizontal="center"/>
    </xf>
    <xf numFmtId="9" fontId="0" fillId="0" borderId="0" xfId="0" applyNumberFormat="1" applyFill="1" applyBorder="1" applyAlignment="1">
      <alignment horizontal="center" vertical="center" wrapText="1"/>
    </xf>
    <xf numFmtId="0" fontId="23" fillId="0" borderId="0" xfId="0" applyFont="1" applyAlignment="1">
      <alignment horizontal="center"/>
    </xf>
    <xf numFmtId="9" fontId="23" fillId="0" borderId="0" xfId="0" applyNumberFormat="1" applyFont="1" applyAlignment="1">
      <alignment horizontal="center"/>
    </xf>
    <xf numFmtId="169" fontId="0" fillId="0" borderId="5" xfId="0" applyNumberFormat="1" applyBorder="1" applyAlignment="1">
      <alignment horizontal="center" vertical="center" wrapText="1"/>
    </xf>
    <xf numFmtId="168" fontId="0" fillId="0" borderId="5" xfId="0" applyNumberFormat="1" applyBorder="1" applyAlignment="1">
      <alignment horizontal="center" vertical="center" wrapText="1"/>
    </xf>
    <xf numFmtId="168" fontId="0" fillId="0" borderId="10" xfId="0" applyNumberFormat="1" applyBorder="1" applyAlignment="1">
      <alignment horizontal="center"/>
    </xf>
    <xf numFmtId="9" fontId="23" fillId="0" borderId="5" xfId="0" applyNumberFormat="1" applyFont="1" applyBorder="1" applyAlignment="1">
      <alignment horizontal="center"/>
    </xf>
    <xf numFmtId="168" fontId="0" fillId="0" borderId="5" xfId="0" applyNumberFormat="1" applyBorder="1" applyAlignment="1">
      <alignment horizontal="center"/>
    </xf>
    <xf numFmtId="1" fontId="23" fillId="0" borderId="0" xfId="0" applyNumberFormat="1" applyFont="1" applyAlignment="1">
      <alignment horizontal="center"/>
    </xf>
    <xf numFmtId="49" fontId="23" fillId="0" borderId="10" xfId="4" applyNumberFormat="1" applyFont="1" applyBorder="1" applyAlignment="1">
      <alignment horizontal="center" vertical="center" wrapText="1"/>
    </xf>
    <xf numFmtId="168" fontId="23" fillId="0" borderId="1" xfId="0" applyNumberFormat="1" applyFont="1" applyBorder="1" applyAlignment="1">
      <alignment horizontal="center" vertical="center" wrapText="1"/>
    </xf>
    <xf numFmtId="168" fontId="23" fillId="0" borderId="1" xfId="0" applyNumberFormat="1" applyFont="1" applyFill="1" applyBorder="1" applyAlignment="1">
      <alignment horizontal="center" vertical="center" wrapText="1"/>
    </xf>
    <xf numFmtId="0" fontId="0" fillId="0" borderId="4" xfId="0" applyBorder="1" applyAlignment="1">
      <alignment horizontal="center"/>
    </xf>
    <xf numFmtId="168" fontId="23"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4" fillId="0" borderId="1" xfId="0" applyFont="1" applyBorder="1" applyAlignment="1">
      <alignment wrapText="1"/>
    </xf>
    <xf numFmtId="0" fontId="3" fillId="0" borderId="2" xfId="0" applyFont="1" applyBorder="1" applyAlignment="1">
      <alignment horizontal="center"/>
    </xf>
    <xf numFmtId="1" fontId="3" fillId="0" borderId="8" xfId="0" applyNumberFormat="1" applyFont="1" applyBorder="1" applyAlignment="1">
      <alignment horizontal="center"/>
    </xf>
    <xf numFmtId="0" fontId="0" fillId="0" borderId="1" xfId="0" applyFill="1" applyBorder="1"/>
    <xf numFmtId="0" fontId="8" fillId="0" borderId="13" xfId="4" applyBorder="1"/>
    <xf numFmtId="1" fontId="0" fillId="0" borderId="0" xfId="0" applyNumberFormat="1" applyFont="1" applyBorder="1" applyAlignment="1">
      <alignment horizontal="center"/>
    </xf>
    <xf numFmtId="167" fontId="3" fillId="0" borderId="8" xfId="0" applyNumberFormat="1" applyFont="1" applyBorder="1" applyAlignment="1">
      <alignment horizontal="center"/>
    </xf>
    <xf numFmtId="0" fontId="8" fillId="0" borderId="0" xfId="4" applyAlignment="1" applyProtection="1">
      <protection locked="0"/>
    </xf>
    <xf numFmtId="0" fontId="0" fillId="0" borderId="0" xfId="0" applyAlignment="1" applyProtection="1">
      <protection locked="0"/>
    </xf>
    <xf numFmtId="0" fontId="13" fillId="0" borderId="0" xfId="4"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8" fillId="0" borderId="0" xfId="4" applyBorder="1" applyAlignment="1" applyProtection="1">
      <alignment horizontal="left" vertical="center" wrapText="1"/>
      <protection locked="0"/>
    </xf>
    <xf numFmtId="0" fontId="8" fillId="0" borderId="0" xfId="4" applyBorder="1" applyAlignment="1" applyProtection="1">
      <alignment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0" fillId="0" borderId="0" xfId="0" applyBorder="1" applyAlignment="1" applyProtection="1">
      <alignment horizontal="left" wrapText="1"/>
      <protection locked="0"/>
    </xf>
    <xf numFmtId="0" fontId="0" fillId="0" borderId="0" xfId="0" applyBorder="1" applyAlignment="1" applyProtection="1">
      <protection locked="0"/>
    </xf>
    <xf numFmtId="0" fontId="24" fillId="0" borderId="0" xfId="4" applyNumberFormat="1" applyFont="1" applyBorder="1" applyAlignment="1" applyProtection="1">
      <alignment horizontal="left" vertical="center" wrapText="1"/>
      <protection locked="0"/>
    </xf>
    <xf numFmtId="0" fontId="24" fillId="0" borderId="0" xfId="0" applyNumberFormat="1" applyFont="1" applyAlignment="1" applyProtection="1">
      <protection locked="0"/>
    </xf>
    <xf numFmtId="0" fontId="4" fillId="0" borderId="15" xfId="0" applyFont="1" applyBorder="1" applyAlignment="1" applyProtection="1">
      <alignment horizontal="left" wrapText="1"/>
      <protection locked="0"/>
    </xf>
    <xf numFmtId="9" fontId="3" fillId="0" borderId="3" xfId="0" applyNumberFormat="1" applyFont="1" applyBorder="1" applyAlignment="1" applyProtection="1">
      <alignment horizontal="center"/>
      <protection locked="0"/>
    </xf>
    <xf numFmtId="0" fontId="0" fillId="0" borderId="6" xfId="0" applyBorder="1" applyAlignment="1" applyProtection="1">
      <alignment horizontal="center"/>
      <protection locked="0"/>
    </xf>
    <xf numFmtId="0" fontId="7" fillId="0" borderId="13" xfId="0" applyFont="1" applyBorder="1" applyAlignment="1" applyProtection="1">
      <alignment wrapText="1"/>
      <protection locked="0"/>
    </xf>
    <xf numFmtId="0" fontId="0" fillId="0" borderId="9" xfId="0" applyBorder="1" applyAlignment="1" applyProtection="1">
      <alignment wrapText="1"/>
      <protection locked="0"/>
    </xf>
    <xf numFmtId="0" fontId="7" fillId="0" borderId="3" xfId="0" applyFont="1" applyBorder="1" applyAlignment="1" applyProtection="1">
      <alignment wrapText="1"/>
      <protection locked="0"/>
    </xf>
    <xf numFmtId="0" fontId="7" fillId="0" borderId="0" xfId="0" applyFont="1" applyAlignment="1" applyProtection="1">
      <alignment wrapText="1"/>
      <protection locked="0"/>
    </xf>
    <xf numFmtId="1" fontId="3" fillId="0" borderId="4" xfId="0" applyNumberFormat="1" applyFont="1" applyBorder="1" applyAlignment="1" applyProtection="1">
      <protection locked="0"/>
    </xf>
    <xf numFmtId="0" fontId="0" fillId="0" borderId="1" xfId="0" applyBorder="1" applyAlignment="1" applyProtection="1">
      <protection locked="0"/>
    </xf>
    <xf numFmtId="0" fontId="7" fillId="0" borderId="0" xfId="0" applyFont="1" applyAlignment="1" applyProtection="1">
      <alignment horizontal="left" wrapText="1"/>
    </xf>
    <xf numFmtId="0" fontId="0" fillId="0" borderId="0" xfId="0" applyAlignment="1" applyProtection="1">
      <alignment wrapText="1"/>
    </xf>
    <xf numFmtId="0" fontId="20" fillId="0" borderId="0" xfId="6" applyFont="1" applyBorder="1" applyAlignment="1" applyProtection="1">
      <alignment wrapText="1"/>
      <protection locked="0"/>
    </xf>
    <xf numFmtId="0" fontId="0" fillId="0" borderId="0" xfId="0" applyBorder="1" applyAlignment="1" applyProtection="1">
      <alignment horizontal="left" vertical="center" wrapText="1"/>
      <protection locked="0"/>
    </xf>
    <xf numFmtId="0" fontId="0" fillId="0" borderId="0" xfId="0" applyAlignment="1">
      <alignment wrapText="1"/>
    </xf>
    <xf numFmtId="0" fontId="3" fillId="0" borderId="4" xfId="0" applyFont="1" applyBorder="1" applyAlignment="1"/>
    <xf numFmtId="0" fontId="0" fillId="0" borderId="1" xfId="0" applyBorder="1" applyAlignment="1"/>
    <xf numFmtId="0" fontId="0" fillId="0" borderId="3" xfId="0" applyBorder="1" applyAlignment="1"/>
    <xf numFmtId="0" fontId="0" fillId="0" borderId="0" xfId="0" applyBorder="1" applyAlignment="1"/>
    <xf numFmtId="0" fontId="13" fillId="0" borderId="3" xfId="4" applyFont="1" applyBorder="1" applyAlignment="1">
      <alignment wrapText="1"/>
    </xf>
    <xf numFmtId="0" fontId="7" fillId="0" borderId="0" xfId="0" applyFont="1" applyBorder="1" applyAlignment="1"/>
    <xf numFmtId="0" fontId="0" fillId="0" borderId="0" xfId="0" applyAlignment="1"/>
    <xf numFmtId="0" fontId="0" fillId="0" borderId="3" xfId="0" applyBorder="1" applyAlignment="1">
      <alignment wrapText="1"/>
    </xf>
    <xf numFmtId="0" fontId="3" fillId="0" borderId="4" xfId="0" applyFont="1" applyBorder="1" applyAlignment="1">
      <alignment wrapText="1"/>
    </xf>
    <xf numFmtId="0" fontId="0" fillId="0" borderId="1" xfId="0" applyBorder="1" applyAlignment="1">
      <alignment wrapText="1"/>
    </xf>
  </cellXfs>
  <cellStyles count="11">
    <cellStyle name="Entrée" xfId="5" builtinId="20"/>
    <cellStyle name="Excel Built-in Input" xfId="10"/>
    <cellStyle name="Lien hypertexte" xfId="4" builtinId="8"/>
    <cellStyle name="Lien hypertexte 2" xfId="9"/>
    <cellStyle name="Milliers" xfId="1" builtinId="3"/>
    <cellStyle name="Milliers 2" xfId="7"/>
    <cellStyle name="Monétaire" xfId="2" builtinId="4"/>
    <cellStyle name="Monétaire 2" xfId="8"/>
    <cellStyle name="Normal" xfId="0" builtinId="0"/>
    <cellStyle name="Normal 2" xfId="6"/>
    <cellStyle name="Texte explicatif" xfId="3" builtinId="53" customBuiltin="1"/>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CC"/>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9" Type="http://schemas.openxmlformats.org/officeDocument/2006/relationships/image" Target="../media/image40.png"/><Relationship Id="rId3" Type="http://schemas.openxmlformats.org/officeDocument/2006/relationships/image" Target="../media/image4.png"/><Relationship Id="rId21" Type="http://schemas.openxmlformats.org/officeDocument/2006/relationships/image" Target="../media/image22.png"/><Relationship Id="rId34" Type="http://schemas.openxmlformats.org/officeDocument/2006/relationships/image" Target="../media/image35.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38" Type="http://schemas.openxmlformats.org/officeDocument/2006/relationships/image" Target="../media/image39.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41" Type="http://schemas.openxmlformats.org/officeDocument/2006/relationships/image" Target="../media/image42.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37" Type="http://schemas.openxmlformats.org/officeDocument/2006/relationships/image" Target="../media/image38.png"/><Relationship Id="rId40" Type="http://schemas.openxmlformats.org/officeDocument/2006/relationships/image" Target="../media/image41.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36" Type="http://schemas.openxmlformats.org/officeDocument/2006/relationships/image" Target="../media/image37.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s>
</file>

<file path=xl/drawings/drawing1.xml><?xml version="1.0" encoding="utf-8"?>
<xdr:wsDr xmlns:xdr="http://schemas.openxmlformats.org/drawingml/2006/spreadsheetDrawing" xmlns:a="http://schemas.openxmlformats.org/drawingml/2006/main">
  <xdr:twoCellAnchor editAs="oneCell">
    <xdr:from>
      <xdr:col>9</xdr:col>
      <xdr:colOff>7620</xdr:colOff>
      <xdr:row>120</xdr:row>
      <xdr:rowOff>15240</xdr:rowOff>
    </xdr:from>
    <xdr:to>
      <xdr:col>14</xdr:col>
      <xdr:colOff>472440</xdr:colOff>
      <xdr:row>133</xdr:row>
      <xdr:rowOff>121920</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6820" y="25405080"/>
          <a:ext cx="4625340" cy="24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220980</xdr:colOff>
      <xdr:row>2</xdr:row>
      <xdr:rowOff>137160</xdr:rowOff>
    </xdr:to>
    <xdr:pic>
      <xdr:nvPicPr>
        <xdr:cNvPr id="2" name="Image 1" descr="https://upload.wikimedia.org/wikipedia/en/thumb/b/ba/Flag_of_Germany.svg/23px-Flag_of_Germany.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36576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220980</xdr:colOff>
      <xdr:row>3</xdr:row>
      <xdr:rowOff>114300</xdr:rowOff>
    </xdr:to>
    <xdr:pic>
      <xdr:nvPicPr>
        <xdr:cNvPr id="3" name="Image 2" descr="https://upload.wikimedia.org/wikipedia/en/thumb/a/ae/Flag_of_the_United_Kingdom.svg/23px-Flag_of_the_United_Kingdom.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548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220980</xdr:colOff>
      <xdr:row>4</xdr:row>
      <xdr:rowOff>144780</xdr:rowOff>
    </xdr:to>
    <xdr:pic>
      <xdr:nvPicPr>
        <xdr:cNvPr id="4" name="Image 3" descr="https://upload.wikimedia.org/wikipedia/en/thumb/c/c3/Flag_of_France.svg/23px-Flag_of_France.sv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 y="7315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220980</xdr:colOff>
      <xdr:row>5</xdr:row>
      <xdr:rowOff>144780</xdr:rowOff>
    </xdr:to>
    <xdr:pic>
      <xdr:nvPicPr>
        <xdr:cNvPr id="5" name="Image 4" descr="https://upload.wikimedia.org/wikipedia/en/thumb/0/03/Flag_of_Italy.svg/23px-Flag_of_Italy.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2480" y="91440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220980</xdr:colOff>
      <xdr:row>6</xdr:row>
      <xdr:rowOff>144780</xdr:rowOff>
    </xdr:to>
    <xdr:pic>
      <xdr:nvPicPr>
        <xdr:cNvPr id="6" name="Image 5" descr="https://upload.wikimedia.org/wikipedia/en/thumb/f/f3/Flag_of_Russia.svg/23px-Flag_of_Russia.svg.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2480" y="1097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220980</xdr:colOff>
      <xdr:row>6</xdr:row>
      <xdr:rowOff>144780</xdr:rowOff>
    </xdr:to>
    <xdr:pic>
      <xdr:nvPicPr>
        <xdr:cNvPr id="7" name="Image 6" descr="https://upload.wikimedia.org/wikipedia/en/thumb/9/9a/Flag_of_Spain.svg/23px-Flag_of_Spain.svg.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2480" y="1097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220980</xdr:colOff>
      <xdr:row>7</xdr:row>
      <xdr:rowOff>144780</xdr:rowOff>
    </xdr:to>
    <xdr:pic>
      <xdr:nvPicPr>
        <xdr:cNvPr id="8" name="Image 7" descr="https://upload.wikimedia.org/wikipedia/commons/thumb/2/20/Flag_of_the_Netherlands.svg/23px-Flag_of_the_Netherlands.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2480" y="1280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220980</xdr:colOff>
      <xdr:row>8</xdr:row>
      <xdr:rowOff>144780</xdr:rowOff>
    </xdr:to>
    <xdr:pic>
      <xdr:nvPicPr>
        <xdr:cNvPr id="9" name="Image 8" descr="https://upload.wikimedia.org/wikipedia/commons/thumb/b/b4/Flag_of_Turkey.svg/23px-Flag_of_Turkey.svg.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2480" y="14630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152400</xdr:colOff>
      <xdr:row>8</xdr:row>
      <xdr:rowOff>152400</xdr:rowOff>
    </xdr:to>
    <xdr:pic>
      <xdr:nvPicPr>
        <xdr:cNvPr id="10" name="Image 9" descr="https://upload.wikimedia.org/wikipedia/commons/thumb/f/f3/Flag_of_Switzerland.svg/16px-Flag_of_Switzerland.svg.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92480" y="14630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220980</xdr:colOff>
      <xdr:row>9</xdr:row>
      <xdr:rowOff>137160</xdr:rowOff>
    </xdr:to>
    <xdr:pic>
      <xdr:nvPicPr>
        <xdr:cNvPr id="11" name="Image 10" descr="https://upload.wikimedia.org/wikipedia/en/thumb/1/12/Flag_of_Poland.svg/23px-Flag_of_Poland.svg.pn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2480" y="164592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220980</xdr:colOff>
      <xdr:row>10</xdr:row>
      <xdr:rowOff>137160</xdr:rowOff>
    </xdr:to>
    <xdr:pic>
      <xdr:nvPicPr>
        <xdr:cNvPr id="12" name="Image 11" descr="https://upload.wikimedia.org/wikipedia/en/thumb/4/4c/Flag_of_Sweden.svg/23px-Flag_of_Sweden.svg.pn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2480" y="182880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220980</xdr:colOff>
      <xdr:row>11</xdr:row>
      <xdr:rowOff>144780</xdr:rowOff>
    </xdr:to>
    <xdr:pic>
      <xdr:nvPicPr>
        <xdr:cNvPr id="13" name="Image 12" descr="https://upload.wikimedia.org/wikipedia/commons/thumb/9/92/Flag_of_Belgium_%28civil%29.svg/23px-Flag_of_Belgium_%28civil%29.svg.pn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92480" y="20116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220980</xdr:colOff>
      <xdr:row>12</xdr:row>
      <xdr:rowOff>144780</xdr:rowOff>
    </xdr:to>
    <xdr:pic>
      <xdr:nvPicPr>
        <xdr:cNvPr id="14" name="Image 13" descr="https://upload.wikimedia.org/wikipedia/commons/thumb/4/41/Flag_of_Austria.svg/23px-Flag_of_Austria.svg.pn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92480" y="21945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198120</xdr:colOff>
      <xdr:row>13</xdr:row>
      <xdr:rowOff>144780</xdr:rowOff>
    </xdr:to>
    <xdr:pic>
      <xdr:nvPicPr>
        <xdr:cNvPr id="15" name="Image 14" descr="https://upload.wikimedia.org/wikipedia/commons/thumb/d/d9/Flag_of_Norway.svg/21px-Flag_of_Norway.svg.pn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92480" y="237744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220980</xdr:colOff>
      <xdr:row>14</xdr:row>
      <xdr:rowOff>114300</xdr:rowOff>
    </xdr:to>
    <xdr:pic>
      <xdr:nvPicPr>
        <xdr:cNvPr id="16" name="Image 15" descr="https://upload.wikimedia.org/wikipedia/commons/thumb/4/45/Flag_of_Ireland.svg/23px-Flag_of_Ireland.svg.png"/>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92480" y="256032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190500</xdr:colOff>
      <xdr:row>15</xdr:row>
      <xdr:rowOff>144780</xdr:rowOff>
    </xdr:to>
    <xdr:pic>
      <xdr:nvPicPr>
        <xdr:cNvPr id="17" name="Image 16" descr="https://upload.wikimedia.org/wikipedia/commons/thumb/9/9c/Flag_of_Denmark.svg/20px-Flag_of_Denmark.svg.png"/>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2480" y="2743200"/>
          <a:ext cx="19050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220980</xdr:colOff>
      <xdr:row>16</xdr:row>
      <xdr:rowOff>137160</xdr:rowOff>
    </xdr:to>
    <xdr:pic>
      <xdr:nvPicPr>
        <xdr:cNvPr id="18" name="Image 17" descr="https://upload.wikimedia.org/wikipedia/commons/thumb/b/bc/Flag_of_Finland.svg/23px-Flag_of_Finland.svg.png"/>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92480" y="292608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220980</xdr:colOff>
      <xdr:row>17</xdr:row>
      <xdr:rowOff>144780</xdr:rowOff>
    </xdr:to>
    <xdr:pic>
      <xdr:nvPicPr>
        <xdr:cNvPr id="19" name="Image 18" descr="https://upload.wikimedia.org/wikipedia/commons/thumb/c/cb/Flag_of_the_Czech_Republic.svg/23px-Flag_of_the_Czech_Republic.svg.png"/>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92480" y="31089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220980</xdr:colOff>
      <xdr:row>18</xdr:row>
      <xdr:rowOff>144780</xdr:rowOff>
    </xdr:to>
    <xdr:pic>
      <xdr:nvPicPr>
        <xdr:cNvPr id="20" name="Image 19" descr="https://upload.wikimedia.org/wikipedia/commons/thumb/5/5c/Flag_of_Portugal.svg/23px-Flag_of_Portugal.svg.png"/>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92480" y="32918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220980</xdr:colOff>
      <xdr:row>19</xdr:row>
      <xdr:rowOff>144780</xdr:rowOff>
    </xdr:to>
    <xdr:pic>
      <xdr:nvPicPr>
        <xdr:cNvPr id="21" name="Image 20" descr="https://upload.wikimedia.org/wikipedia/commons/thumb/7/73/Flag_of_Romania.svg/23px-Flag_of_Romania.svg.png"/>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92480" y="34747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220980</xdr:colOff>
      <xdr:row>20</xdr:row>
      <xdr:rowOff>144780</xdr:rowOff>
    </xdr:to>
    <xdr:pic>
      <xdr:nvPicPr>
        <xdr:cNvPr id="22" name="Image 21" descr="https://upload.wikimedia.org/wikipedia/commons/thumb/5/5c/Flag_of_Greece.svg/23px-Flag_of_Greece.svg.png"/>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92480" y="365760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220980</xdr:colOff>
      <xdr:row>21</xdr:row>
      <xdr:rowOff>114300</xdr:rowOff>
    </xdr:to>
    <xdr:pic>
      <xdr:nvPicPr>
        <xdr:cNvPr id="23" name="Image 22" descr="https://upload.wikimedia.org/wikipedia/commons/thumb/c/c1/Flag_of_Hungary.svg/23px-Flag_of_Hungary.svg.png"/>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92480" y="38404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220980</xdr:colOff>
      <xdr:row>22</xdr:row>
      <xdr:rowOff>144780</xdr:rowOff>
    </xdr:to>
    <xdr:pic>
      <xdr:nvPicPr>
        <xdr:cNvPr id="24" name="Image 23" descr="https://upload.wikimedia.org/wikipedia/commons/thumb/4/49/Flag_of_Ukraine.svg/23px-Flag_of_Ukraine.svg.pn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92480" y="40233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220980</xdr:colOff>
      <xdr:row>22</xdr:row>
      <xdr:rowOff>144780</xdr:rowOff>
    </xdr:to>
    <xdr:pic>
      <xdr:nvPicPr>
        <xdr:cNvPr id="25" name="Image 24" descr="https://upload.wikimedia.org/wikipedia/commons/thumb/e/e6/Flag_of_Slovakia.svg/23px-Flag_of_Slovakia.svg.png"/>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92480" y="40233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220980</xdr:colOff>
      <xdr:row>23</xdr:row>
      <xdr:rowOff>137160</xdr:rowOff>
    </xdr:to>
    <xdr:pic>
      <xdr:nvPicPr>
        <xdr:cNvPr id="26" name="Image 25" descr="https://upload.wikimedia.org/wikipedia/commons/thumb/d/da/Flag_of_Luxembourg.svg/23px-Flag_of_Luxembourg.svg.png"/>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92480" y="420624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220980</xdr:colOff>
      <xdr:row>24</xdr:row>
      <xdr:rowOff>137160</xdr:rowOff>
    </xdr:to>
    <xdr:pic>
      <xdr:nvPicPr>
        <xdr:cNvPr id="27" name="Image 26" descr="https://upload.wikimedia.org/wikipedia/commons/thumb/9/9a/Flag_of_Bulgaria.svg/23px-Flag_of_Bulgaria.svg.png"/>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92480" y="438912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220980</xdr:colOff>
      <xdr:row>25</xdr:row>
      <xdr:rowOff>114300</xdr:rowOff>
    </xdr:to>
    <xdr:pic>
      <xdr:nvPicPr>
        <xdr:cNvPr id="28" name="Image 27" descr="https://upload.wikimedia.org/wikipedia/commons/thumb/1/1b/Flag_of_Croatia.svg/23px-Flag_of_Croatia.svg.png"/>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792480" y="457200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220980</xdr:colOff>
      <xdr:row>26</xdr:row>
      <xdr:rowOff>114300</xdr:rowOff>
    </xdr:to>
    <xdr:pic>
      <xdr:nvPicPr>
        <xdr:cNvPr id="29" name="Image 28" descr="https://upload.wikimedia.org/wikipedia/commons/thumb/8/85/Flag_of_Belarus.svg/23px-Flag_of_Belarus.svg.png"/>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92480" y="47548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220980</xdr:colOff>
      <xdr:row>26</xdr:row>
      <xdr:rowOff>114300</xdr:rowOff>
    </xdr:to>
    <xdr:pic>
      <xdr:nvPicPr>
        <xdr:cNvPr id="30" name="Image 29" descr="https://upload.wikimedia.org/wikipedia/commons/thumb/f/f0/Flag_of_Slovenia.svg/23px-Flag_of_Slovenia.svg.png"/>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792480" y="47548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220980</xdr:colOff>
      <xdr:row>27</xdr:row>
      <xdr:rowOff>137160</xdr:rowOff>
    </xdr:to>
    <xdr:pic>
      <xdr:nvPicPr>
        <xdr:cNvPr id="31" name="Image 30" descr="https://upload.wikimedia.org/wikipedia/commons/thumb/1/11/Flag_of_Lithuania.svg/23px-Flag_of_Lithuania.svg.png"/>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92480" y="493776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144780</xdr:rowOff>
    </xdr:to>
    <xdr:pic>
      <xdr:nvPicPr>
        <xdr:cNvPr id="32" name="Image 31" descr="https://upload.wikimedia.org/wikipedia/commons/thumb/f/ff/Flag_of_Serbia.svg/23px-Flag_of_Serbia.svg.png"/>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792480" y="51206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114300</xdr:rowOff>
    </xdr:to>
    <xdr:pic>
      <xdr:nvPicPr>
        <xdr:cNvPr id="33" name="Image 32" descr="https://upload.wikimedia.org/wikipedia/commons/thumb/d/dd/Flag_of_Azerbaijan.svg/23px-Flag_of_Azerbaijan.svg.png"/>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92480" y="5120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114300</xdr:rowOff>
    </xdr:to>
    <xdr:pic>
      <xdr:nvPicPr>
        <xdr:cNvPr id="34" name="Image 33" descr="https://upload.wikimedia.org/wikipedia/commons/thumb/8/84/Flag_of_Latvia.svg/23px-Flag_of_Latvia.svg.png"/>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792480" y="5120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220980</xdr:colOff>
      <xdr:row>29</xdr:row>
      <xdr:rowOff>144780</xdr:rowOff>
    </xdr:to>
    <xdr:pic>
      <xdr:nvPicPr>
        <xdr:cNvPr id="35" name="Image 34" descr="https://upload.wikimedia.org/wikipedia/commons/thumb/8/8f/Flag_of_Estonia.svg/23px-Flag_of_Estonia.svg.png"/>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792480" y="53035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198120</xdr:colOff>
      <xdr:row>30</xdr:row>
      <xdr:rowOff>144780</xdr:rowOff>
    </xdr:to>
    <xdr:pic>
      <xdr:nvPicPr>
        <xdr:cNvPr id="36" name="Image 35" descr="https://upload.wikimedia.org/wikipedia/commons/thumb/c/ce/Flag_of_Iceland.svg/21px-Flag_of_Iceland.svg.png"/>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92480" y="548640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220980</xdr:colOff>
      <xdr:row>31</xdr:row>
      <xdr:rowOff>144780</xdr:rowOff>
    </xdr:to>
    <xdr:pic>
      <xdr:nvPicPr>
        <xdr:cNvPr id="37" name="Image 36" descr="https://upload.wikimedia.org/wikipedia/commons/thumb/d/d4/Flag_of_Cyprus.svg/23px-Flag_of_Cyprus.svg.png"/>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792480" y="5669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114300</xdr:rowOff>
    </xdr:to>
    <xdr:pic>
      <xdr:nvPicPr>
        <xdr:cNvPr id="38" name="Image 37" descr="https://upload.wikimedia.org/wikipedia/commons/thumb/b/bf/Flag_of_Bosnia_and_Herzegovina.svg/23px-Flag_of_Bosnia_and_Herzegovina.svg.png"/>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792480" y="585216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144780</xdr:rowOff>
    </xdr:to>
    <xdr:pic>
      <xdr:nvPicPr>
        <xdr:cNvPr id="39" name="Image 38" descr="https://upload.wikimedia.org/wikipedia/commons/thumb/0/0f/Flag_of_Georgia.svg/23px-Flag_of_Georgia.svg.png"/>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92480" y="5852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198120</xdr:colOff>
      <xdr:row>32</xdr:row>
      <xdr:rowOff>144780</xdr:rowOff>
    </xdr:to>
    <xdr:pic>
      <xdr:nvPicPr>
        <xdr:cNvPr id="40" name="Image 39" descr="https://upload.wikimedia.org/wikipedia/commons/thumb/3/36/Flag_of_Albania.svg/21px-Flag_of_Albania.svg.png"/>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792480" y="585216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144780</xdr:rowOff>
    </xdr:to>
    <xdr:pic>
      <xdr:nvPicPr>
        <xdr:cNvPr id="41" name="Image 40" descr="https://upload.wikimedia.org/wikipedia/commons/thumb/7/73/Flag_of_Malta.svg/23px-Flag_of_Malta.svg.png"/>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792480" y="5852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60960</xdr:colOff>
      <xdr:row>4</xdr:row>
      <xdr:rowOff>22860</xdr:rowOff>
    </xdr:from>
    <xdr:to>
      <xdr:col>18</xdr:col>
      <xdr:colOff>426720</xdr:colOff>
      <xdr:row>12</xdr:row>
      <xdr:rowOff>11134</xdr:rowOff>
    </xdr:to>
    <xdr:pic>
      <xdr:nvPicPr>
        <xdr:cNvPr id="42" name="Image 4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3716000" y="929640"/>
          <a:ext cx="4381500" cy="145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ergyvault.com/" TargetMode="External"/><Relationship Id="rId13" Type="http://schemas.openxmlformats.org/officeDocument/2006/relationships/hyperlink" Target="http://needtoknow.nas.edu/energy/energy-efficiency/industrial-efficiency/" TargetMode="External"/><Relationship Id="rId3" Type="http://schemas.openxmlformats.org/officeDocument/2006/relationships/hyperlink" Target="http://www.brighthubengineering.com/power-plants/72369-compare-the-efficiency-of-different-power-plants/" TargetMode="External"/><Relationship Id="rId7" Type="http://schemas.openxmlformats.org/officeDocument/2006/relationships/hyperlink" Target="http://www.isd-engineering.com/" TargetMode="External"/><Relationship Id="rId12" Type="http://schemas.openxmlformats.org/officeDocument/2006/relationships/hyperlink" Target="https://atb.nrel.gov/electricity/2020/data.php" TargetMode="External"/><Relationship Id="rId2" Type="http://schemas.openxmlformats.org/officeDocument/2006/relationships/hyperlink" Target="http://www.iipinetwork.org/wp-content/Ietd/content/electric-arc-furnace.html" TargetMode="External"/><Relationship Id="rId1" Type="http://schemas.openxmlformats.org/officeDocument/2006/relationships/printerSettings" Target="../printerSettings/printerSettings1.bin"/><Relationship Id="rId6" Type="http://schemas.openxmlformats.org/officeDocument/2006/relationships/hyperlink" Target="https://energieplus-lesite.be/theories/chauffage11/rendement-d-une-chaudiere/" TargetMode="External"/><Relationship Id="rId11" Type="http://schemas.openxmlformats.org/officeDocument/2006/relationships/hyperlink" Target="http://www.hydropower.org/sites/default/files/publications-docs/the_worlds_water_battery_-_pumped_storage_and_the_clean_energy_transition_2.pdf" TargetMode="External"/><Relationship Id="rId5" Type="http://schemas.openxmlformats.org/officeDocument/2006/relationships/hyperlink" Target="http://www.hubspeicher.de/kostenbeispiele.htm" TargetMode="External"/><Relationship Id="rId15" Type="http://schemas.openxmlformats.org/officeDocument/2006/relationships/printerSettings" Target="../printerSettings/printerSettings2.bin"/><Relationship Id="rId10" Type="http://schemas.openxmlformats.org/officeDocument/2006/relationships/hyperlink" Target="https://cornucopia.cornubot.se/2019/02/internet-drar-10-av-varldens.html" TargetMode="External"/><Relationship Id="rId4" Type="http://schemas.openxmlformats.org/officeDocument/2006/relationships/hyperlink" Target="https://atb.nrel.gov/electricity/2020/data.php" TargetMode="External"/><Relationship Id="rId9" Type="http://schemas.openxmlformats.org/officeDocument/2006/relationships/hyperlink" Target="https://www.centralbanking.com/central-banks/economics/4738011/the-cost-of-decarbonisation" TargetMode="External"/><Relationship Id="rId14" Type="http://schemas.openxmlformats.org/officeDocument/2006/relationships/hyperlink" Target="https://www.economist.com/europe/2021/05/15/plentiful-renewable-energy-is-opening-up-a-new-industrial-frontie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iea.org/reports/renewables-2022/renewable-electricity" TargetMode="External"/><Relationship Id="rId13" Type="http://schemas.openxmlformats.org/officeDocument/2006/relationships/drawing" Target="../drawings/drawing1.xml"/><Relationship Id="rId3" Type="http://schemas.openxmlformats.org/officeDocument/2006/relationships/hyperlink" Target="https://www.sciencedirect.com/topics/engineering/hydrogen-production-cost" TargetMode="External"/><Relationship Id="rId7" Type="http://schemas.openxmlformats.org/officeDocument/2006/relationships/hyperlink" Target="https://www.economist.com/international/2020/12/05/the-pandemic-may-be-encouraging-people-to-live-in-larger-groups" TargetMode="External"/><Relationship Id="rId12" Type="http://schemas.openxmlformats.org/officeDocument/2006/relationships/printerSettings" Target="../printerSettings/printerSettings4.bin"/><Relationship Id="rId2" Type="http://schemas.openxmlformats.org/officeDocument/2006/relationships/hyperlink" Target="https://energypost.eu/10-carbon-capture-methods-compared-costs-scalability-permanence-cleanness/" TargetMode="External"/><Relationship Id="rId1" Type="http://schemas.openxmlformats.org/officeDocument/2006/relationships/printerSettings" Target="../printerSettings/printerSettings3.bin"/><Relationship Id="rId6" Type="http://schemas.openxmlformats.org/officeDocument/2006/relationships/hyperlink" Target="https://www.observatoire-climat-energie.fr/energie/consommation-denergie/energies-fossiles/" TargetMode="External"/><Relationship Id="rId11" Type="http://schemas.openxmlformats.org/officeDocument/2006/relationships/hyperlink" Target="https://www.oberlo.com/blog/google-search-statistics" TargetMode="External"/><Relationship Id="rId5" Type="http://schemas.openxmlformats.org/officeDocument/2006/relationships/hyperlink" Target="http://www.journal-eolien.org/tout-sur-l-eolien/la-production-d-electricite-eolienne/" TargetMode="External"/><Relationship Id="rId10" Type="http://schemas.openxmlformats.org/officeDocument/2006/relationships/hyperlink" Target="https://kaspergroesludvigsen.medium.com/chatgpts-electricity-consumption-pt-ii-225e7e43f22b" TargetMode="External"/><Relationship Id="rId4" Type="http://schemas.openxmlformats.org/officeDocument/2006/relationships/hyperlink" Target="https://www.energy.gov/eere/fuelcells/doe-technical-targets-hydrogen-production-electrolysis" TargetMode="External"/><Relationship Id="rId9" Type="http://schemas.openxmlformats.org/officeDocument/2006/relationships/hyperlink" Target="https://www.sciencedirect.com/science/article/pii/S09596526183263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6"/>
  <sheetViews>
    <sheetView tabSelected="1" zoomScaleNormal="100" workbookViewId="0">
      <selection activeCell="A2" sqref="A2"/>
    </sheetView>
  </sheetViews>
  <sheetFormatPr baseColWidth="10" defaultColWidth="8.88671875" defaultRowHeight="14.4" x14ac:dyDescent="0.3"/>
  <cols>
    <col min="1" max="1" width="33.44140625" style="114" customWidth="1"/>
    <col min="2" max="2" width="10.5546875" style="149" customWidth="1"/>
    <col min="3" max="3" width="10.21875" style="114" customWidth="1"/>
    <col min="4" max="4" width="11.5546875" style="114" customWidth="1"/>
    <col min="5" max="5" width="11.109375" style="149" customWidth="1"/>
    <col min="6" max="11" width="11.109375" style="114" customWidth="1"/>
    <col min="12" max="12" width="8.6640625" style="114" customWidth="1"/>
    <col min="13" max="13" width="1.6640625" style="114" customWidth="1"/>
    <col min="14" max="1023" width="8.88671875" style="114" customWidth="1"/>
    <col min="1024" max="1025" width="11.5546875" style="114"/>
    <col min="1026" max="16384" width="8.88671875" style="114"/>
  </cols>
  <sheetData>
    <row r="1" spans="1:1024" s="113" customFormat="1" ht="15" customHeight="1" thickBot="1" x14ac:dyDescent="0.35">
      <c r="A1" s="373" t="s">
        <v>46</v>
      </c>
      <c r="B1" s="373"/>
      <c r="C1" s="373"/>
      <c r="D1" s="373"/>
      <c r="E1" s="373"/>
      <c r="F1" s="373"/>
      <c r="G1" s="373"/>
      <c r="H1" s="373"/>
      <c r="I1" s="373"/>
      <c r="J1" s="373"/>
      <c r="K1" s="373"/>
      <c r="L1" s="373"/>
      <c r="M1" s="373"/>
      <c r="AMJ1" s="114"/>
    </row>
    <row r="2" spans="1:1024" s="117" customFormat="1" ht="15.6" customHeight="1" x14ac:dyDescent="0.3">
      <c r="A2" s="115" t="s">
        <v>161</v>
      </c>
      <c r="B2" s="116"/>
      <c r="C2" s="116"/>
      <c r="D2" s="116"/>
      <c r="E2" s="116"/>
      <c r="F2" s="116"/>
      <c r="AMJ2" s="115"/>
    </row>
    <row r="3" spans="1:1024" s="113" customFormat="1" ht="81.599999999999994" customHeight="1" x14ac:dyDescent="0.3">
      <c r="A3" s="379" t="s">
        <v>311</v>
      </c>
      <c r="B3" s="367"/>
      <c r="C3" s="367"/>
      <c r="D3" s="367"/>
      <c r="E3" s="367"/>
      <c r="F3" s="367"/>
      <c r="G3" s="367"/>
      <c r="H3" s="367"/>
      <c r="I3" s="367"/>
      <c r="J3" s="367"/>
      <c r="K3" s="367"/>
      <c r="L3" s="367"/>
      <c r="M3" s="116"/>
      <c r="AMJ3" s="114"/>
    </row>
    <row r="4" spans="1:1024" s="113" customFormat="1" ht="15" customHeight="1" x14ac:dyDescent="0.3">
      <c r="A4" s="382" t="s">
        <v>310</v>
      </c>
      <c r="B4" s="383"/>
      <c r="C4" s="383"/>
      <c r="D4" s="383"/>
      <c r="E4" s="383"/>
      <c r="F4" s="383"/>
      <c r="G4" s="383"/>
      <c r="H4" s="383"/>
      <c r="I4" s="383"/>
      <c r="J4" s="383"/>
      <c r="K4" s="383"/>
      <c r="L4" s="383"/>
      <c r="M4" s="116"/>
      <c r="AMJ4" s="114"/>
    </row>
    <row r="5" spans="1:1024" s="113" customFormat="1" ht="15" customHeight="1" x14ac:dyDescent="0.3">
      <c r="A5" s="273" t="s">
        <v>308</v>
      </c>
      <c r="B5" s="116"/>
      <c r="C5" s="116"/>
      <c r="D5" s="116"/>
      <c r="E5" s="116"/>
      <c r="F5" s="116"/>
      <c r="G5" s="116"/>
      <c r="H5" s="116"/>
      <c r="I5" s="116"/>
      <c r="J5" s="116"/>
      <c r="K5" s="116"/>
      <c r="L5" s="116"/>
      <c r="AMJ5" s="114"/>
    </row>
    <row r="6" spans="1:1024" s="113" customFormat="1" ht="13.8" customHeight="1" x14ac:dyDescent="0.3">
      <c r="B6" s="118"/>
      <c r="C6" s="374" t="s">
        <v>48</v>
      </c>
      <c r="D6" s="375"/>
      <c r="E6" s="119"/>
      <c r="AMJ6" s="114"/>
    </row>
    <row r="7" spans="1:1024" s="113" customFormat="1" ht="30" customHeight="1" x14ac:dyDescent="0.3">
      <c r="A7" s="275" t="s">
        <v>305</v>
      </c>
      <c r="B7" s="120" t="s">
        <v>1</v>
      </c>
      <c r="C7" s="121" t="s">
        <v>49</v>
      </c>
      <c r="D7" s="122" t="s">
        <v>136</v>
      </c>
      <c r="E7" s="123" t="s">
        <v>50</v>
      </c>
      <c r="F7" s="124" t="s">
        <v>61</v>
      </c>
      <c r="G7" s="124"/>
      <c r="H7" s="124"/>
      <c r="I7" s="124"/>
      <c r="J7" s="124"/>
      <c r="K7" s="125"/>
      <c r="L7" s="125"/>
      <c r="AMJ7" s="114"/>
    </row>
    <row r="8" spans="1:1024" x14ac:dyDescent="0.3">
      <c r="A8" s="274" t="s">
        <v>2</v>
      </c>
      <c r="B8" s="127"/>
      <c r="C8" s="128">
        <v>134000</v>
      </c>
      <c r="D8" s="129"/>
      <c r="E8" s="130">
        <v>100</v>
      </c>
      <c r="F8" s="131" t="s">
        <v>165</v>
      </c>
      <c r="J8" s="114" t="s">
        <v>235</v>
      </c>
    </row>
    <row r="9" spans="1:1024" x14ac:dyDescent="0.3">
      <c r="A9" s="295" t="s">
        <v>41</v>
      </c>
      <c r="B9" s="133">
        <v>0.84</v>
      </c>
      <c r="C9" s="134">
        <f>$C$8/100*E9</f>
        <v>40200</v>
      </c>
      <c r="D9" s="135">
        <f>C9*B9</f>
        <v>33768</v>
      </c>
      <c r="E9" s="136">
        <v>30</v>
      </c>
      <c r="F9" s="131" t="s">
        <v>163</v>
      </c>
    </row>
    <row r="10" spans="1:1024" x14ac:dyDescent="0.3">
      <c r="A10" s="295" t="s">
        <v>297</v>
      </c>
      <c r="B10" s="133">
        <v>0.5</v>
      </c>
      <c r="C10" s="134">
        <f>$C$8/100*E10</f>
        <v>24120</v>
      </c>
      <c r="D10" s="135">
        <f>C10*B10</f>
        <v>12060</v>
      </c>
      <c r="E10" s="136">
        <v>18</v>
      </c>
      <c r="F10" s="137" t="s">
        <v>299</v>
      </c>
    </row>
    <row r="11" spans="1:1024" ht="28.8" x14ac:dyDescent="0.3">
      <c r="A11" s="295" t="s">
        <v>298</v>
      </c>
      <c r="B11" s="133">
        <v>1</v>
      </c>
      <c r="C11" s="134">
        <f>$C$8/100*E11</f>
        <v>13400</v>
      </c>
      <c r="D11" s="135">
        <f>C11*B11</f>
        <v>13400</v>
      </c>
      <c r="E11" s="136">
        <v>10</v>
      </c>
      <c r="F11" s="138" t="s">
        <v>228</v>
      </c>
    </row>
    <row r="12" spans="1:1024" x14ac:dyDescent="0.3">
      <c r="A12" s="295" t="s">
        <v>42</v>
      </c>
      <c r="B12" s="133">
        <v>1</v>
      </c>
      <c r="C12" s="134">
        <f>$C$8/100*E12</f>
        <v>8040</v>
      </c>
      <c r="D12" s="135">
        <f>C12*B12</f>
        <v>8040</v>
      </c>
      <c r="E12" s="136">
        <v>6</v>
      </c>
    </row>
    <row r="13" spans="1:1024" x14ac:dyDescent="0.3">
      <c r="A13" s="295" t="s">
        <v>3</v>
      </c>
      <c r="B13" s="133">
        <f>E27</f>
        <v>0.79449999999999998</v>
      </c>
      <c r="C13" s="134">
        <f>$C$8/100*E13</f>
        <v>32160</v>
      </c>
      <c r="D13" s="135">
        <f>C13*B13</f>
        <v>25551.119999999999</v>
      </c>
      <c r="E13" s="136">
        <v>24</v>
      </c>
      <c r="F13" s="139"/>
    </row>
    <row r="14" spans="1:1024" x14ac:dyDescent="0.3">
      <c r="A14" s="276" t="s">
        <v>4</v>
      </c>
      <c r="B14" s="140">
        <v>0.4</v>
      </c>
      <c r="C14" s="141">
        <f>C32</f>
        <v>17280</v>
      </c>
      <c r="D14" s="142">
        <f>D32</f>
        <v>6912</v>
      </c>
      <c r="E14" s="143">
        <v>12</v>
      </c>
      <c r="F14" s="137" t="s">
        <v>137</v>
      </c>
    </row>
    <row r="15" spans="1:1024" ht="15" thickBot="1" x14ac:dyDescent="0.35">
      <c r="A15" s="275" t="s">
        <v>66</v>
      </c>
      <c r="B15" s="118"/>
      <c r="C15" s="144"/>
      <c r="D15" s="145">
        <f>SUM(D9:D14)</f>
        <v>99731.12</v>
      </c>
      <c r="E15" s="136">
        <f>SUM(E9:E14)</f>
        <v>100</v>
      </c>
      <c r="F15" s="146" t="s">
        <v>168</v>
      </c>
    </row>
    <row r="16" spans="1:1024" ht="15" thickTop="1" x14ac:dyDescent="0.3">
      <c r="A16" s="275"/>
      <c r="B16" s="118"/>
      <c r="C16" s="144"/>
      <c r="D16" s="147"/>
      <c r="E16" s="136"/>
      <c r="F16" s="148" t="s">
        <v>221</v>
      </c>
    </row>
    <row r="17" spans="1:12" x14ac:dyDescent="0.3">
      <c r="A17" s="295" t="s">
        <v>237</v>
      </c>
      <c r="C17" s="150"/>
      <c r="D17" s="135">
        <f>D15/365/24*30</f>
        <v>341.54493150684925</v>
      </c>
      <c r="E17" s="136"/>
      <c r="F17" s="151" t="s">
        <v>361</v>
      </c>
    </row>
    <row r="18" spans="1:12" ht="15" customHeight="1" x14ac:dyDescent="0.3">
      <c r="A18" s="295"/>
      <c r="C18" s="152"/>
      <c r="D18" s="153"/>
      <c r="E18" s="154"/>
      <c r="F18" s="151"/>
    </row>
    <row r="19" spans="1:12" ht="14.4" customHeight="1" x14ac:dyDescent="0.3">
      <c r="A19" s="295"/>
      <c r="E19" s="155"/>
    </row>
    <row r="20" spans="1:12" ht="28.8" x14ac:dyDescent="0.3">
      <c r="A20" s="277" t="s">
        <v>5</v>
      </c>
      <c r="B20" s="156"/>
      <c r="C20" s="157" t="s">
        <v>51</v>
      </c>
      <c r="D20" s="158"/>
      <c r="E20" s="159" t="s">
        <v>6</v>
      </c>
    </row>
    <row r="21" spans="1:12" x14ac:dyDescent="0.3">
      <c r="A21" s="295" t="s">
        <v>7</v>
      </c>
      <c r="B21" s="133">
        <v>0.85</v>
      </c>
      <c r="C21" s="149">
        <v>29</v>
      </c>
      <c r="E21" s="160">
        <f t="shared" ref="E21:E26" si="0">B21*C21/100</f>
        <v>0.2465</v>
      </c>
      <c r="F21" s="161" t="s">
        <v>164</v>
      </c>
    </row>
    <row r="22" spans="1:12" x14ac:dyDescent="0.3">
      <c r="A22" s="295" t="s">
        <v>236</v>
      </c>
      <c r="B22" s="133">
        <v>0.9</v>
      </c>
      <c r="C22" s="149">
        <v>20</v>
      </c>
      <c r="E22" s="160">
        <f t="shared" si="0"/>
        <v>0.18</v>
      </c>
      <c r="F22" s="161" t="s">
        <v>8</v>
      </c>
      <c r="L22" s="162"/>
    </row>
    <row r="23" spans="1:12" x14ac:dyDescent="0.3">
      <c r="A23" s="295" t="s">
        <v>238</v>
      </c>
      <c r="B23" s="133">
        <v>1</v>
      </c>
      <c r="C23" s="149">
        <v>10</v>
      </c>
      <c r="D23" s="163"/>
      <c r="E23" s="160">
        <f t="shared" si="0"/>
        <v>0.1</v>
      </c>
      <c r="F23" s="114" t="s">
        <v>355</v>
      </c>
      <c r="G23" s="164"/>
      <c r="H23" s="165"/>
    </row>
    <row r="24" spans="1:12" x14ac:dyDescent="0.3">
      <c r="A24" s="295" t="s">
        <v>162</v>
      </c>
      <c r="B24" s="133">
        <v>0.6</v>
      </c>
      <c r="C24" s="149">
        <v>6</v>
      </c>
      <c r="D24" s="163"/>
      <c r="E24" s="160">
        <f t="shared" si="0"/>
        <v>3.5999999999999997E-2</v>
      </c>
      <c r="G24" s="164"/>
      <c r="H24" s="165"/>
    </row>
    <row r="25" spans="1:12" x14ac:dyDescent="0.3">
      <c r="A25" s="295" t="s">
        <v>9</v>
      </c>
      <c r="B25" s="133">
        <v>0.8</v>
      </c>
      <c r="C25" s="149">
        <v>3</v>
      </c>
      <c r="E25" s="160">
        <f t="shared" si="0"/>
        <v>2.4000000000000004E-2</v>
      </c>
    </row>
    <row r="26" spans="1:12" x14ac:dyDescent="0.3">
      <c r="A26" s="276" t="s">
        <v>10</v>
      </c>
      <c r="B26" s="140">
        <v>0.65</v>
      </c>
      <c r="C26" s="166">
        <v>32</v>
      </c>
      <c r="D26" s="167"/>
      <c r="E26" s="168">
        <f t="shared" si="0"/>
        <v>0.20800000000000002</v>
      </c>
      <c r="G26" s="169"/>
    </row>
    <row r="27" spans="1:12" ht="16.8" customHeight="1" x14ac:dyDescent="0.3">
      <c r="A27" s="278" t="s">
        <v>11</v>
      </c>
      <c r="B27" s="133"/>
      <c r="D27" s="170"/>
      <c r="E27" s="171">
        <f>SUM(E21:E26)</f>
        <v>0.79449999999999998</v>
      </c>
    </row>
    <row r="28" spans="1:12" x14ac:dyDescent="0.3">
      <c r="A28" s="278"/>
      <c r="B28" s="133"/>
      <c r="D28" s="170"/>
      <c r="E28" s="171"/>
    </row>
    <row r="29" spans="1:12" x14ac:dyDescent="0.3">
      <c r="A29" s="295"/>
      <c r="B29" s="133"/>
      <c r="E29" s="172"/>
      <c r="F29" s="173"/>
    </row>
    <row r="30" spans="1:12" x14ac:dyDescent="0.3">
      <c r="A30" s="295"/>
      <c r="B30" s="133"/>
      <c r="D30" s="173"/>
      <c r="E30" s="154"/>
      <c r="F30" s="173"/>
    </row>
    <row r="31" spans="1:12" x14ac:dyDescent="0.3">
      <c r="A31" s="279" t="s">
        <v>12</v>
      </c>
      <c r="B31" s="140"/>
      <c r="C31" s="124">
        <v>27000</v>
      </c>
      <c r="D31" s="167"/>
      <c r="E31" s="174">
        <f>C31/C8</f>
        <v>0.20149253731343283</v>
      </c>
      <c r="F31" s="150"/>
      <c r="G31" s="169"/>
      <c r="L31" s="114" t="s">
        <v>169</v>
      </c>
    </row>
    <row r="32" spans="1:12" x14ac:dyDescent="0.3">
      <c r="A32" s="295" t="s">
        <v>13</v>
      </c>
      <c r="B32" s="133">
        <v>0.4</v>
      </c>
      <c r="C32" s="114">
        <f>C31/100*64</f>
        <v>17280</v>
      </c>
      <c r="D32" s="114">
        <f>C32*B32</f>
        <v>6912</v>
      </c>
      <c r="E32" s="154"/>
      <c r="F32" s="175" t="s">
        <v>14</v>
      </c>
    </row>
    <row r="33" spans="1:1024" x14ac:dyDescent="0.3">
      <c r="A33" s="276" t="s">
        <v>15</v>
      </c>
      <c r="B33" s="140">
        <v>1</v>
      </c>
      <c r="C33" s="167">
        <f>C31-C32</f>
        <v>9720</v>
      </c>
      <c r="D33" s="167">
        <f>C33*B33</f>
        <v>9720</v>
      </c>
      <c r="E33" s="154"/>
      <c r="F33" s="378" t="s">
        <v>166</v>
      </c>
      <c r="G33" s="379"/>
      <c r="H33" s="379"/>
      <c r="I33" s="379"/>
      <c r="J33" s="379"/>
      <c r="K33" s="379"/>
      <c r="L33" s="379"/>
    </row>
    <row r="34" spans="1:1024" ht="15" thickBot="1" x14ac:dyDescent="0.35">
      <c r="A34" s="275" t="s">
        <v>16</v>
      </c>
      <c r="B34" s="133"/>
      <c r="D34" s="176">
        <f>D32+D33</f>
        <v>16632</v>
      </c>
      <c r="E34" s="154"/>
      <c r="F34" s="378"/>
      <c r="G34" s="379"/>
      <c r="H34" s="379"/>
      <c r="I34" s="379"/>
      <c r="J34" s="379"/>
      <c r="K34" s="379"/>
      <c r="L34" s="379"/>
    </row>
    <row r="35" spans="1:1024" ht="15" thickTop="1" x14ac:dyDescent="0.3">
      <c r="A35" s="295"/>
      <c r="B35" s="133"/>
      <c r="H35" s="165"/>
    </row>
    <row r="36" spans="1:1024" x14ac:dyDescent="0.3">
      <c r="A36" s="280"/>
      <c r="B36" s="133"/>
      <c r="H36" s="165"/>
    </row>
    <row r="37" spans="1:1024" ht="43.2" x14ac:dyDescent="0.3">
      <c r="A37" s="281" t="s">
        <v>303</v>
      </c>
      <c r="B37" s="177" t="s">
        <v>52</v>
      </c>
      <c r="C37" s="177" t="s">
        <v>17</v>
      </c>
      <c r="D37" s="177" t="s">
        <v>306</v>
      </c>
      <c r="E37" s="177" t="s">
        <v>47</v>
      </c>
      <c r="F37" s="177" t="s">
        <v>55</v>
      </c>
      <c r="G37" s="178" t="s">
        <v>19</v>
      </c>
      <c r="H37" s="114" t="s">
        <v>60</v>
      </c>
    </row>
    <row r="38" spans="1:1024" ht="20.399999999999999" customHeight="1" x14ac:dyDescent="0.3">
      <c r="A38" s="282" t="s">
        <v>62</v>
      </c>
      <c r="B38" s="179"/>
      <c r="C38" s="180">
        <f>D15/365/24</f>
        <v>11.384831050228309</v>
      </c>
      <c r="D38" s="179"/>
      <c r="E38" s="179"/>
      <c r="F38" s="179"/>
      <c r="G38" s="150"/>
    </row>
    <row r="39" spans="1:1024" x14ac:dyDescent="0.3">
      <c r="A39" s="295" t="s">
        <v>123</v>
      </c>
      <c r="B39" s="149">
        <v>0.15</v>
      </c>
      <c r="C39" s="133">
        <f>$C$38/3*2/B39</f>
        <v>50.599249112125818</v>
      </c>
      <c r="D39" s="181">
        <v>0.8</v>
      </c>
      <c r="E39" s="182">
        <f>C39*D39*1000</f>
        <v>40479.399289700661</v>
      </c>
      <c r="F39" s="182">
        <f>C39*1000*1000/G39/B68</f>
        <v>789072.11091034417</v>
      </c>
      <c r="G39" s="134">
        <v>90</v>
      </c>
      <c r="H39" s="183" t="s">
        <v>0</v>
      </c>
      <c r="J39" s="114" t="s">
        <v>218</v>
      </c>
    </row>
    <row r="40" spans="1:1024" x14ac:dyDescent="0.3">
      <c r="A40" s="283" t="s">
        <v>122</v>
      </c>
      <c r="B40" s="166">
        <v>0.27</v>
      </c>
      <c r="C40" s="140">
        <f>$C$38/3*1/B40</f>
        <v>14.055346975590503</v>
      </c>
      <c r="D40" s="184">
        <v>2.4</v>
      </c>
      <c r="E40" s="185">
        <f>C40*D40*1000</f>
        <v>33732.832741417202</v>
      </c>
      <c r="F40" s="185">
        <f>C40*1000*1000/G40/B68</f>
        <v>2465850.3465948249</v>
      </c>
      <c r="G40" s="150">
        <v>8</v>
      </c>
      <c r="H40" s="152" t="s">
        <v>20</v>
      </c>
      <c r="L40" s="152"/>
    </row>
    <row r="41" spans="1:1024" x14ac:dyDescent="0.3">
      <c r="A41" s="275" t="s">
        <v>53</v>
      </c>
      <c r="C41" s="186">
        <f>C39+C40</f>
        <v>64.654596087716328</v>
      </c>
      <c r="D41" s="187"/>
      <c r="E41" s="188">
        <f>E39+E40</f>
        <v>74212.232031117863</v>
      </c>
      <c r="G41" s="134"/>
    </row>
    <row r="42" spans="1:1024" s="183" customFormat="1" x14ac:dyDescent="0.3">
      <c r="A42" s="275" t="s">
        <v>54</v>
      </c>
      <c r="B42" s="189"/>
      <c r="C42" s="186">
        <f>C41/$B$68</f>
        <v>90.743292754689577</v>
      </c>
      <c r="D42" s="187"/>
      <c r="E42" s="190">
        <f>E41/B68</f>
        <v>104157.51864016542</v>
      </c>
      <c r="G42" s="191"/>
      <c r="AMJ42" s="114"/>
    </row>
    <row r="43" spans="1:1024" x14ac:dyDescent="0.3">
      <c r="A43" s="295" t="s">
        <v>21</v>
      </c>
      <c r="B43" s="114"/>
      <c r="C43" s="192">
        <f>$D$17</f>
        <v>341.54493150684925</v>
      </c>
      <c r="D43" s="193">
        <f>F76</f>
        <v>228.16361131811217</v>
      </c>
      <c r="E43" s="192">
        <f>C43*D43</f>
        <v>77928.125</v>
      </c>
      <c r="G43" s="194"/>
    </row>
    <row r="44" spans="1:1024" s="183" customFormat="1" x14ac:dyDescent="0.3">
      <c r="A44" s="276" t="s">
        <v>22</v>
      </c>
      <c r="B44" s="167">
        <v>30</v>
      </c>
      <c r="C44" s="195"/>
      <c r="D44" s="196">
        <v>1600</v>
      </c>
      <c r="E44" s="196">
        <f>B44*D44</f>
        <v>48000</v>
      </c>
      <c r="G44" s="194" t="s">
        <v>408</v>
      </c>
    </row>
    <row r="45" spans="1:1024" s="113" customFormat="1" ht="15" thickBot="1" x14ac:dyDescent="0.35">
      <c r="A45" s="275" t="s">
        <v>68</v>
      </c>
      <c r="B45" s="118"/>
      <c r="C45" s="197"/>
      <c r="D45" s="186"/>
      <c r="E45" s="198">
        <f>E42+E43+E44</f>
        <v>230085.64364016542</v>
      </c>
      <c r="G45" s="191" t="s">
        <v>301</v>
      </c>
      <c r="AMJ45" s="183"/>
    </row>
    <row r="46" spans="1:1024" s="204" customFormat="1" ht="14.4" customHeight="1" thickTop="1" x14ac:dyDescent="0.3">
      <c r="A46" s="284"/>
      <c r="B46" s="200"/>
      <c r="C46" s="199"/>
      <c r="D46" s="201"/>
      <c r="E46" s="202"/>
      <c r="F46" s="200"/>
      <c r="G46" s="203"/>
      <c r="H46" s="199"/>
      <c r="I46" s="199"/>
      <c r="J46" s="199"/>
      <c r="K46" s="199"/>
      <c r="AMJ46" s="114"/>
    </row>
    <row r="47" spans="1:1024" s="204" customFormat="1" ht="15.6" x14ac:dyDescent="0.3">
      <c r="A47" s="285"/>
      <c r="B47" s="200"/>
      <c r="C47" s="199"/>
      <c r="D47" s="201"/>
      <c r="E47" s="202"/>
      <c r="F47" s="199"/>
      <c r="G47" s="203"/>
      <c r="H47" s="199"/>
      <c r="I47" s="199"/>
      <c r="J47" s="199"/>
      <c r="K47" s="199"/>
      <c r="AMJ47" s="114"/>
    </row>
    <row r="48" spans="1:1024" ht="46.8" x14ac:dyDescent="0.3">
      <c r="A48" s="281" t="s">
        <v>302</v>
      </c>
      <c r="B48" s="177" t="s">
        <v>52</v>
      </c>
      <c r="C48" s="177" t="s">
        <v>17</v>
      </c>
      <c r="D48" s="177" t="s">
        <v>18</v>
      </c>
      <c r="E48" s="177" t="s">
        <v>47</v>
      </c>
      <c r="F48" s="177" t="s">
        <v>55</v>
      </c>
      <c r="G48" s="178" t="s">
        <v>19</v>
      </c>
      <c r="H48" s="114" t="s">
        <v>44</v>
      </c>
    </row>
    <row r="49" spans="1:1024" x14ac:dyDescent="0.3">
      <c r="A49" s="282" t="s">
        <v>67</v>
      </c>
      <c r="B49" s="179"/>
      <c r="C49" s="205">
        <f>C38*'PIB UE'!M36*1.15</f>
        <v>2.5989686317935741</v>
      </c>
      <c r="D49" s="179"/>
      <c r="E49" s="179"/>
      <c r="F49" s="179"/>
      <c r="G49" s="206" t="s">
        <v>239</v>
      </c>
    </row>
    <row r="50" spans="1:1024" x14ac:dyDescent="0.3">
      <c r="A50" s="295" t="s">
        <v>124</v>
      </c>
      <c r="B50" s="149">
        <v>0.15</v>
      </c>
      <c r="C50" s="133">
        <f>$C$49/3*1/B50</f>
        <v>5.775485848430165</v>
      </c>
      <c r="D50" s="181">
        <v>0.8</v>
      </c>
      <c r="E50" s="182">
        <f>C50*D50*1000</f>
        <v>4620.3886787441324</v>
      </c>
      <c r="F50" s="182">
        <f>C50*1000*1000/G50/B68</f>
        <v>90066.056115870029</v>
      </c>
      <c r="G50" s="134">
        <v>90</v>
      </c>
      <c r="H50" s="183" t="s">
        <v>0</v>
      </c>
    </row>
    <row r="51" spans="1:1024" x14ac:dyDescent="0.3">
      <c r="A51" s="283" t="s">
        <v>125</v>
      </c>
      <c r="B51" s="166">
        <v>0.27</v>
      </c>
      <c r="C51" s="140">
        <f>$C$49/3*2/B51</f>
        <v>6.4172064982557382</v>
      </c>
      <c r="D51" s="140">
        <v>2.4</v>
      </c>
      <c r="E51" s="185">
        <f>C51*D51*1000</f>
        <v>15401.295595813772</v>
      </c>
      <c r="F51" s="185">
        <f>C51*1000*1000/G51/B68</f>
        <v>1125825.7014483751</v>
      </c>
      <c r="G51" s="150">
        <v>8</v>
      </c>
      <c r="H51" s="152" t="s">
        <v>20</v>
      </c>
      <c r="L51" s="152"/>
    </row>
    <row r="52" spans="1:1024" x14ac:dyDescent="0.3">
      <c r="A52" s="275" t="s">
        <v>53</v>
      </c>
      <c r="C52" s="186">
        <f>C50+C51</f>
        <v>12.192692346685902</v>
      </c>
      <c r="D52" s="192"/>
      <c r="E52" s="207">
        <f>E50+E51</f>
        <v>20021.684274557905</v>
      </c>
      <c r="F52" s="182"/>
      <c r="G52" s="134"/>
    </row>
    <row r="53" spans="1:1024" s="183" customFormat="1" x14ac:dyDescent="0.3">
      <c r="A53" s="275" t="s">
        <v>54</v>
      </c>
      <c r="B53" s="189"/>
      <c r="C53" s="186">
        <f>C52/$B$68</f>
        <v>17.112550662015302</v>
      </c>
      <c r="D53" s="193"/>
      <c r="E53" s="207">
        <f>E52/$B$68</f>
        <v>28100.609508151443</v>
      </c>
      <c r="F53" s="182"/>
      <c r="G53" s="191"/>
      <c r="AMJ53" s="114"/>
    </row>
    <row r="54" spans="1:1024" s="183" customFormat="1" x14ac:dyDescent="0.3">
      <c r="A54" s="286" t="s">
        <v>21</v>
      </c>
      <c r="B54" s="189"/>
      <c r="C54" s="208"/>
      <c r="D54" s="186"/>
      <c r="E54" s="209">
        <f>F75*'PIB UE'!M36</f>
        <v>15469.306140848214</v>
      </c>
      <c r="F54" s="182"/>
      <c r="G54" s="194" t="s">
        <v>114</v>
      </c>
    </row>
    <row r="55" spans="1:1024" s="183" customFormat="1" x14ac:dyDescent="0.3">
      <c r="A55" s="282" t="s">
        <v>22</v>
      </c>
      <c r="B55" s="210">
        <v>30</v>
      </c>
      <c r="C55" s="211"/>
      <c r="D55" s="209">
        <f>D44*'PIB UE'!M36</f>
        <v>317.61177142857144</v>
      </c>
      <c r="E55" s="209">
        <f>B55*D55</f>
        <v>9528.3531428571441</v>
      </c>
      <c r="F55" s="212"/>
      <c r="G55" s="194" t="s">
        <v>43</v>
      </c>
    </row>
    <row r="56" spans="1:1024" s="183" customFormat="1" x14ac:dyDescent="0.3">
      <c r="A56" s="282" t="s">
        <v>222</v>
      </c>
      <c r="B56" s="210"/>
      <c r="C56" s="211"/>
      <c r="D56" s="209"/>
      <c r="E56" s="209">
        <f>'PIB UE'!M36*Info.complémentaire!C36</f>
        <v>5955.2207142857142</v>
      </c>
      <c r="F56" s="207"/>
      <c r="G56" s="194"/>
    </row>
    <row r="57" spans="1:1024" s="204" customFormat="1" ht="16.2" thickBot="1" x14ac:dyDescent="0.35">
      <c r="A57" s="287" t="s">
        <v>65</v>
      </c>
      <c r="B57" s="213"/>
      <c r="C57" s="214"/>
      <c r="D57" s="215"/>
      <c r="E57" s="216">
        <f>E53+E54+E55+E56</f>
        <v>59053.489506142512</v>
      </c>
      <c r="F57" s="217"/>
      <c r="G57" s="218"/>
      <c r="AMJ57" s="114"/>
    </row>
    <row r="58" spans="1:1024" s="204" customFormat="1" ht="15.6" customHeight="1" thickTop="1" x14ac:dyDescent="0.3">
      <c r="A58" s="286" t="s">
        <v>287</v>
      </c>
      <c r="B58" s="219"/>
      <c r="C58" s="220"/>
      <c r="D58" s="221"/>
      <c r="E58" s="193">
        <f>'PIB UE'!K36</f>
        <v>16674.617999999999</v>
      </c>
      <c r="F58" s="183"/>
      <c r="G58" s="218"/>
      <c r="AMJ58" s="183"/>
    </row>
    <row r="59" spans="1:1024" s="204" customFormat="1" ht="15.6" customHeight="1" x14ac:dyDescent="0.3">
      <c r="A59" s="286"/>
      <c r="B59" s="219"/>
      <c r="C59" s="220"/>
      <c r="D59" s="221"/>
      <c r="E59" s="193"/>
      <c r="F59" s="183"/>
      <c r="G59" s="222"/>
      <c r="AMJ59" s="183"/>
    </row>
    <row r="60" spans="1:1024" x14ac:dyDescent="0.3">
      <c r="A60" s="288"/>
      <c r="B60" s="152"/>
      <c r="C60" s="152"/>
      <c r="D60" s="224"/>
      <c r="E60" s="152"/>
      <c r="F60" s="207"/>
      <c r="G60" s="153"/>
      <c r="H60" s="152"/>
      <c r="I60" s="152"/>
      <c r="J60" s="152"/>
      <c r="K60" s="152"/>
      <c r="L60" s="152" t="s">
        <v>170</v>
      </c>
      <c r="M60" s="152"/>
    </row>
    <row r="61" spans="1:1024" ht="43.2" x14ac:dyDescent="0.3">
      <c r="A61" s="281" t="s">
        <v>23</v>
      </c>
      <c r="B61" s="177" t="s">
        <v>24</v>
      </c>
      <c r="C61" s="177" t="s">
        <v>25</v>
      </c>
      <c r="D61" s="225" t="s">
        <v>26</v>
      </c>
      <c r="E61" s="226" t="s">
        <v>84</v>
      </c>
      <c r="F61" s="227" t="s">
        <v>59</v>
      </c>
      <c r="G61" s="124"/>
      <c r="H61" s="124"/>
      <c r="I61" s="124"/>
      <c r="J61" s="124"/>
      <c r="K61" s="124"/>
      <c r="L61" s="125"/>
      <c r="M61" s="125"/>
    </row>
    <row r="62" spans="1:1024" x14ac:dyDescent="0.3">
      <c r="A62" s="295" t="s">
        <v>126</v>
      </c>
      <c r="B62" s="133">
        <v>0.6</v>
      </c>
      <c r="C62" s="114" t="s">
        <v>63</v>
      </c>
      <c r="D62" s="228">
        <v>0.25</v>
      </c>
      <c r="E62" s="229">
        <f>B62*D62</f>
        <v>0.15</v>
      </c>
      <c r="F62" s="151" t="s">
        <v>367</v>
      </c>
    </row>
    <row r="63" spans="1:1024" x14ac:dyDescent="0.3">
      <c r="A63" s="295" t="s">
        <v>27</v>
      </c>
      <c r="B63" s="133">
        <v>0.45</v>
      </c>
      <c r="C63" s="114" t="s">
        <v>363</v>
      </c>
      <c r="D63" s="228">
        <v>0.1</v>
      </c>
      <c r="E63" s="229">
        <f t="shared" ref="E63:E67" si="1">B63*D63</f>
        <v>4.5000000000000005E-2</v>
      </c>
      <c r="F63" s="151" t="s">
        <v>366</v>
      </c>
    </row>
    <row r="64" spans="1:1024" ht="15.6" customHeight="1" x14ac:dyDescent="0.3">
      <c r="A64" s="289" t="s">
        <v>230</v>
      </c>
      <c r="B64" s="133">
        <v>0.9</v>
      </c>
      <c r="C64" s="114" t="s">
        <v>231</v>
      </c>
      <c r="D64" s="228">
        <v>0.15</v>
      </c>
      <c r="E64" s="229">
        <f t="shared" si="1"/>
        <v>0.13500000000000001</v>
      </c>
      <c r="F64" s="151" t="s">
        <v>29</v>
      </c>
      <c r="G64" s="164"/>
    </row>
    <row r="65" spans="1:15" x14ac:dyDescent="0.3">
      <c r="A65" s="295" t="s">
        <v>229</v>
      </c>
      <c r="B65" s="133">
        <v>0.75</v>
      </c>
      <c r="C65" s="114" t="s">
        <v>28</v>
      </c>
      <c r="D65" s="228">
        <v>0.1</v>
      </c>
      <c r="E65" s="229">
        <f t="shared" si="1"/>
        <v>7.5000000000000011E-2</v>
      </c>
      <c r="F65" s="151" t="s">
        <v>30</v>
      </c>
      <c r="G65" s="164"/>
    </row>
    <row r="66" spans="1:15" x14ac:dyDescent="0.3">
      <c r="A66" s="295" t="s">
        <v>31</v>
      </c>
      <c r="B66" s="133">
        <v>0.8</v>
      </c>
      <c r="C66" s="114" t="s">
        <v>28</v>
      </c>
      <c r="D66" s="228">
        <v>0.15</v>
      </c>
      <c r="E66" s="229">
        <f t="shared" si="1"/>
        <v>0.12</v>
      </c>
      <c r="F66" s="230" t="s">
        <v>32</v>
      </c>
      <c r="G66" s="164"/>
    </row>
    <row r="67" spans="1:15" x14ac:dyDescent="0.3">
      <c r="A67" s="283" t="s">
        <v>83</v>
      </c>
      <c r="B67" s="140">
        <v>0.75</v>
      </c>
      <c r="C67" s="125" t="s">
        <v>362</v>
      </c>
      <c r="D67" s="231">
        <v>0.25</v>
      </c>
      <c r="E67" s="232">
        <f t="shared" si="1"/>
        <v>0.1875</v>
      </c>
      <c r="F67" s="233" t="s">
        <v>86</v>
      </c>
      <c r="G67" s="234"/>
      <c r="H67" s="125"/>
      <c r="I67" s="125"/>
      <c r="J67" s="125"/>
      <c r="K67" s="125"/>
      <c r="L67" s="125"/>
      <c r="M67" s="125"/>
    </row>
    <row r="68" spans="1:15" x14ac:dyDescent="0.3">
      <c r="A68" s="275" t="s">
        <v>33</v>
      </c>
      <c r="B68" s="186">
        <f>SUM(E62:E67)</f>
        <v>0.71250000000000002</v>
      </c>
      <c r="C68" s="164"/>
      <c r="D68" s="235"/>
      <c r="E68" s="236"/>
      <c r="F68" s="237" t="s">
        <v>364</v>
      </c>
    </row>
    <row r="69" spans="1:15" x14ac:dyDescent="0.3">
      <c r="A69" s="275"/>
      <c r="B69" s="118"/>
      <c r="C69" s="164"/>
      <c r="D69" s="169"/>
      <c r="E69" s="152"/>
    </row>
    <row r="70" spans="1:15" x14ac:dyDescent="0.3">
      <c r="A70" s="295"/>
      <c r="C70" s="164"/>
      <c r="D70" s="164"/>
      <c r="G70" s="380" t="s">
        <v>59</v>
      </c>
      <c r="H70" s="381"/>
      <c r="I70" s="125"/>
      <c r="J70" s="125"/>
      <c r="K70" s="125"/>
      <c r="L70" s="125"/>
      <c r="M70" s="125"/>
    </row>
    <row r="71" spans="1:15" s="239" customFormat="1" ht="43.2" x14ac:dyDescent="0.3">
      <c r="A71" s="281" t="s">
        <v>58</v>
      </c>
      <c r="B71" s="177" t="s">
        <v>34</v>
      </c>
      <c r="C71" s="238" t="s">
        <v>35</v>
      </c>
      <c r="D71" s="238" t="s">
        <v>36</v>
      </c>
      <c r="E71" s="177" t="s">
        <v>390</v>
      </c>
      <c r="F71" s="225" t="s">
        <v>113</v>
      </c>
      <c r="G71" s="376" t="s">
        <v>389</v>
      </c>
      <c r="H71" s="377"/>
      <c r="I71" s="377"/>
      <c r="J71" s="377"/>
      <c r="K71" s="377"/>
      <c r="L71" s="377"/>
      <c r="M71" s="377"/>
      <c r="N71" s="116"/>
    </row>
    <row r="72" spans="1:15" x14ac:dyDescent="0.3">
      <c r="A72" s="295" t="s">
        <v>37</v>
      </c>
      <c r="B72" s="192">
        <v>30</v>
      </c>
      <c r="C72" s="240">
        <v>274</v>
      </c>
      <c r="D72" s="240">
        <v>74</v>
      </c>
      <c r="E72" s="192">
        <v>250</v>
      </c>
      <c r="F72" s="241">
        <f>(E72/24*B72)*((C72+D72)/2)</f>
        <v>54375</v>
      </c>
      <c r="G72" s="242" t="s">
        <v>45</v>
      </c>
      <c r="H72" s="199"/>
      <c r="I72" s="199"/>
      <c r="J72" s="199"/>
      <c r="K72" s="199"/>
      <c r="L72" s="199"/>
      <c r="M72" s="199"/>
      <c r="N72" s="199"/>
    </row>
    <row r="73" spans="1:15" x14ac:dyDescent="0.3">
      <c r="A73" s="288" t="s">
        <v>38</v>
      </c>
      <c r="B73" s="243">
        <v>30</v>
      </c>
      <c r="C73" s="240">
        <v>260</v>
      </c>
      <c r="D73" s="240">
        <v>110</v>
      </c>
      <c r="E73" s="243">
        <v>250</v>
      </c>
      <c r="F73" s="241">
        <f>(E73/24*B73)*((C73+D73)/2)/4</f>
        <v>14453.125</v>
      </c>
      <c r="G73" s="199" t="s">
        <v>121</v>
      </c>
      <c r="H73" s="151"/>
      <c r="I73" s="199"/>
      <c r="J73" s="199"/>
      <c r="K73" s="199"/>
      <c r="L73" s="199"/>
      <c r="M73" s="199"/>
      <c r="N73" s="199"/>
      <c r="O73" s="244"/>
    </row>
    <row r="74" spans="1:15" x14ac:dyDescent="0.3">
      <c r="A74" s="283" t="s">
        <v>127</v>
      </c>
      <c r="B74" s="245">
        <v>30</v>
      </c>
      <c r="C74" s="246">
        <v>80</v>
      </c>
      <c r="D74" s="246">
        <v>80</v>
      </c>
      <c r="E74" s="245">
        <v>91</v>
      </c>
      <c r="F74" s="247">
        <f>(E74/24*B74)*((C74+D74)/2)</f>
        <v>9100</v>
      </c>
      <c r="G74" s="161" t="s">
        <v>85</v>
      </c>
      <c r="H74" s="151"/>
      <c r="I74" s="199"/>
      <c r="J74" s="199"/>
      <c r="K74" s="199"/>
      <c r="L74" s="199"/>
      <c r="M74" s="199"/>
      <c r="N74" s="199"/>
      <c r="O74" s="244"/>
    </row>
    <row r="75" spans="1:15" ht="16.2" thickBot="1" x14ac:dyDescent="0.35">
      <c r="A75" s="290" t="s">
        <v>39</v>
      </c>
      <c r="B75" s="192"/>
      <c r="C75" s="240"/>
      <c r="D75" s="240"/>
      <c r="E75" s="192">
        <v>341</v>
      </c>
      <c r="F75" s="248">
        <f>SUM(F72:F74)</f>
        <v>77928.125</v>
      </c>
      <c r="G75" s="199"/>
      <c r="H75" s="151"/>
      <c r="I75" s="199"/>
      <c r="J75" s="199"/>
      <c r="K75" s="199"/>
      <c r="L75" s="199"/>
      <c r="M75" s="199"/>
      <c r="N75" s="199"/>
    </row>
    <row r="76" spans="1:15" ht="15" thickTop="1" x14ac:dyDescent="0.3">
      <c r="A76" s="297" t="s">
        <v>112</v>
      </c>
      <c r="B76" s="192"/>
      <c r="C76" s="240"/>
      <c r="D76" s="240"/>
      <c r="E76" s="192"/>
      <c r="F76" s="249">
        <f>F75/D17</f>
        <v>228.16361131811217</v>
      </c>
      <c r="G76" s="199" t="s">
        <v>114</v>
      </c>
      <c r="H76" s="151"/>
      <c r="I76" s="199"/>
      <c r="J76" s="199"/>
      <c r="K76" s="199"/>
      <c r="L76" s="199"/>
      <c r="M76" s="199"/>
      <c r="N76" s="199"/>
    </row>
    <row r="77" spans="1:15" ht="15.6" x14ac:dyDescent="0.3">
      <c r="A77" s="297"/>
      <c r="B77" s="192"/>
      <c r="C77" s="240"/>
      <c r="D77" s="240"/>
      <c r="E77" s="192"/>
      <c r="F77" s="250"/>
      <c r="H77" s="152"/>
    </row>
    <row r="78" spans="1:15" s="239" customFormat="1" ht="16.2" thickBot="1" x14ac:dyDescent="0.35">
      <c r="A78" s="301" t="s">
        <v>64</v>
      </c>
      <c r="B78" s="251"/>
      <c r="C78" s="252"/>
      <c r="D78" s="252"/>
      <c r="E78" s="251"/>
      <c r="F78" s="253">
        <f>E45+Info.complémentaire!C36</f>
        <v>260085.64364016542</v>
      </c>
      <c r="G78" s="183" t="s">
        <v>365</v>
      </c>
      <c r="H78" s="254"/>
    </row>
    <row r="79" spans="1:15" ht="18" customHeight="1" thickTop="1" x14ac:dyDescent="0.3">
      <c r="A79" s="297"/>
      <c r="B79" s="192"/>
      <c r="C79" s="240"/>
      <c r="D79" s="240"/>
      <c r="E79" s="192"/>
      <c r="F79" s="251"/>
      <c r="H79" s="152"/>
    </row>
    <row r="80" spans="1:15" ht="16.2" customHeight="1" x14ac:dyDescent="0.3">
      <c r="C80" s="164"/>
      <c r="D80" s="164"/>
      <c r="H80" s="152"/>
    </row>
    <row r="81" spans="1:12" ht="15.6" x14ac:dyDescent="0.3">
      <c r="A81" s="298" t="s">
        <v>40</v>
      </c>
      <c r="C81" s="164"/>
      <c r="D81" s="255"/>
      <c r="H81" s="152"/>
    </row>
    <row r="82" spans="1:12" ht="75.599999999999994" customHeight="1" x14ac:dyDescent="0.3">
      <c r="A82" s="384" t="s">
        <v>354</v>
      </c>
      <c r="B82" s="384"/>
      <c r="C82" s="384"/>
      <c r="D82" s="384"/>
      <c r="E82" s="384"/>
      <c r="F82" s="384"/>
      <c r="G82" s="384"/>
      <c r="H82" s="384"/>
      <c r="I82" s="384"/>
      <c r="J82" s="384"/>
    </row>
    <row r="83" spans="1:12" ht="14.4" customHeight="1" x14ac:dyDescent="0.3">
      <c r="A83" s="366" t="s">
        <v>234</v>
      </c>
      <c r="B83" s="362"/>
      <c r="C83" s="362"/>
      <c r="D83" s="362"/>
      <c r="E83" s="362"/>
      <c r="F83" s="362"/>
      <c r="G83" s="362"/>
      <c r="H83" s="362"/>
      <c r="I83" s="362"/>
      <c r="J83" s="362"/>
    </row>
    <row r="84" spans="1:12" ht="15" customHeight="1" x14ac:dyDescent="0.3">
      <c r="A84" s="256"/>
      <c r="B84" s="257"/>
      <c r="C84" s="257"/>
      <c r="D84" s="257"/>
      <c r="E84" s="257"/>
      <c r="F84" s="257"/>
      <c r="G84" s="257"/>
      <c r="H84" s="257"/>
      <c r="I84" s="257"/>
      <c r="J84" s="257"/>
    </row>
    <row r="85" spans="1:12" ht="32.4" customHeight="1" x14ac:dyDescent="0.3">
      <c r="A85" s="368" t="s">
        <v>87</v>
      </c>
      <c r="B85" s="368"/>
      <c r="C85" s="368"/>
      <c r="D85" s="368"/>
      <c r="E85" s="368"/>
      <c r="F85" s="368"/>
      <c r="G85" s="368"/>
      <c r="H85" s="370"/>
      <c r="I85" s="370"/>
      <c r="J85" s="370"/>
    </row>
    <row r="86" spans="1:12" ht="16.2" customHeight="1" x14ac:dyDescent="0.3">
      <c r="A86" s="223"/>
      <c r="B86" s="223"/>
      <c r="C86" s="223"/>
      <c r="D86" s="223"/>
      <c r="E86" s="223"/>
      <c r="F86" s="223"/>
      <c r="G86" s="223"/>
      <c r="H86" s="152"/>
      <c r="I86" s="152"/>
      <c r="J86" s="152"/>
      <c r="L86" s="114" t="s">
        <v>171</v>
      </c>
    </row>
    <row r="87" spans="1:12" ht="45" customHeight="1" x14ac:dyDescent="0.3">
      <c r="A87" s="368" t="s">
        <v>232</v>
      </c>
      <c r="B87" s="368"/>
      <c r="C87" s="368"/>
      <c r="D87" s="368"/>
      <c r="E87" s="368"/>
      <c r="F87" s="368"/>
      <c r="G87" s="368"/>
      <c r="H87" s="370"/>
      <c r="I87" s="370"/>
      <c r="J87" s="370"/>
    </row>
    <row r="88" spans="1:12" ht="12.6" customHeight="1" x14ac:dyDescent="0.3">
      <c r="A88" s="223"/>
      <c r="B88" s="223"/>
      <c r="C88" s="223"/>
      <c r="D88" s="223"/>
      <c r="E88" s="223"/>
      <c r="F88" s="223"/>
      <c r="G88" s="223"/>
      <c r="H88" s="152"/>
      <c r="I88" s="152"/>
      <c r="J88" s="152"/>
    </row>
    <row r="89" spans="1:12" ht="44.4" customHeight="1" x14ac:dyDescent="0.3">
      <c r="A89" s="368" t="s">
        <v>300</v>
      </c>
      <c r="B89" s="368"/>
      <c r="C89" s="368"/>
      <c r="D89" s="368"/>
      <c r="E89" s="368"/>
      <c r="F89" s="368"/>
      <c r="G89" s="368"/>
      <c r="H89" s="370"/>
      <c r="I89" s="370"/>
      <c r="J89" s="370"/>
    </row>
    <row r="90" spans="1:12" ht="12.6" customHeight="1" x14ac:dyDescent="0.3">
      <c r="A90" s="210" t="s">
        <v>56</v>
      </c>
      <c r="B90" s="258"/>
      <c r="C90" s="152"/>
      <c r="D90" s="152"/>
      <c r="E90" s="258"/>
      <c r="F90" s="152"/>
      <c r="G90" s="152"/>
      <c r="H90" s="152"/>
      <c r="I90" s="152"/>
      <c r="J90" s="152"/>
    </row>
    <row r="91" spans="1:12" ht="15" customHeight="1" x14ac:dyDescent="0.3">
      <c r="A91" s="368" t="s">
        <v>139</v>
      </c>
      <c r="B91" s="368"/>
      <c r="C91" s="368"/>
      <c r="D91" s="368"/>
      <c r="E91" s="368"/>
      <c r="F91" s="368"/>
      <c r="G91" s="368"/>
      <c r="H91" s="370"/>
      <c r="I91" s="370"/>
      <c r="J91" s="370"/>
      <c r="K91" s="362"/>
    </row>
    <row r="92" spans="1:12" ht="10.8" customHeight="1" x14ac:dyDescent="0.3">
      <c r="A92" s="223"/>
      <c r="B92" s="223"/>
      <c r="C92" s="223"/>
      <c r="D92" s="223"/>
      <c r="E92" s="223"/>
      <c r="F92" s="223"/>
      <c r="G92" s="223"/>
      <c r="H92" s="152"/>
      <c r="I92" s="152"/>
      <c r="J92" s="152"/>
    </row>
    <row r="93" spans="1:12" ht="28.2" customHeight="1" x14ac:dyDescent="0.3">
      <c r="A93" s="368" t="s">
        <v>284</v>
      </c>
      <c r="B93" s="368"/>
      <c r="C93" s="368"/>
      <c r="D93" s="368"/>
      <c r="E93" s="368"/>
      <c r="F93" s="368"/>
      <c r="G93" s="368"/>
      <c r="H93" s="370"/>
      <c r="I93" s="370"/>
      <c r="J93" s="370"/>
    </row>
    <row r="94" spans="1:12" ht="12" customHeight="1" x14ac:dyDescent="0.3">
      <c r="A94" s="210" t="s">
        <v>57</v>
      </c>
      <c r="B94" s="258"/>
      <c r="C94" s="152"/>
      <c r="D94" s="152"/>
      <c r="E94" s="258"/>
      <c r="F94" s="152"/>
      <c r="G94" s="152"/>
      <c r="H94" s="152"/>
      <c r="I94" s="152"/>
      <c r="J94" s="152"/>
    </row>
    <row r="95" spans="1:12" ht="39.6" customHeight="1" x14ac:dyDescent="0.3">
      <c r="A95" s="385" t="s">
        <v>309</v>
      </c>
      <c r="B95" s="385"/>
      <c r="C95" s="385"/>
      <c r="D95" s="385"/>
      <c r="E95" s="385"/>
      <c r="F95" s="385"/>
      <c r="G95" s="385"/>
      <c r="H95" s="386"/>
      <c r="I95" s="386"/>
      <c r="J95" s="386"/>
    </row>
    <row r="96" spans="1:12" ht="13.8" customHeight="1" x14ac:dyDescent="0.3">
      <c r="A96" s="365" t="s">
        <v>45</v>
      </c>
      <c r="B96" s="362"/>
      <c r="C96" s="362"/>
      <c r="D96" s="362"/>
      <c r="E96" s="362"/>
      <c r="F96" s="362"/>
      <c r="G96" s="362"/>
      <c r="H96" s="362"/>
      <c r="I96" s="362"/>
      <c r="J96" s="362"/>
    </row>
    <row r="97" spans="1:13" ht="13.8" customHeight="1" x14ac:dyDescent="0.3">
      <c r="A97" s="371" t="s">
        <v>307</v>
      </c>
      <c r="B97" s="372"/>
      <c r="C97" s="372"/>
      <c r="D97" s="372"/>
      <c r="E97" s="372"/>
      <c r="F97" s="372"/>
      <c r="G97" s="372"/>
      <c r="H97" s="372"/>
      <c r="I97" s="372"/>
      <c r="J97" s="372"/>
    </row>
    <row r="98" spans="1:13" ht="12.6" customHeight="1" x14ac:dyDescent="0.3">
      <c r="A98" s="259"/>
      <c r="B98" s="258"/>
      <c r="C98" s="152"/>
      <c r="D98" s="152"/>
      <c r="E98" s="258"/>
      <c r="F98" s="152"/>
      <c r="G98" s="152"/>
      <c r="H98" s="152"/>
      <c r="I98" s="152"/>
      <c r="J98" s="152"/>
    </row>
    <row r="99" spans="1:13" ht="57" customHeight="1" x14ac:dyDescent="0.3">
      <c r="A99" s="368" t="s">
        <v>190</v>
      </c>
      <c r="B99" s="368"/>
      <c r="C99" s="368"/>
      <c r="D99" s="368"/>
      <c r="E99" s="368"/>
      <c r="F99" s="368"/>
      <c r="G99" s="368"/>
      <c r="H99" s="370"/>
      <c r="I99" s="370"/>
      <c r="J99" s="370"/>
    </row>
    <row r="100" spans="1:13" ht="14.4" customHeight="1" x14ac:dyDescent="0.3">
      <c r="A100" s="363" t="s">
        <v>189</v>
      </c>
      <c r="B100" s="364"/>
      <c r="C100" s="364"/>
      <c r="D100" s="364"/>
      <c r="E100" s="364"/>
      <c r="F100" s="364"/>
      <c r="G100" s="364"/>
      <c r="H100" s="364"/>
      <c r="I100" s="364"/>
      <c r="J100" s="364"/>
    </row>
    <row r="101" spans="1:13" ht="13.2" customHeight="1" x14ac:dyDescent="0.3"/>
    <row r="102" spans="1:13" ht="13.8" customHeight="1" x14ac:dyDescent="0.3">
      <c r="A102" s="367" t="s">
        <v>138</v>
      </c>
      <c r="B102" s="367"/>
      <c r="C102" s="367"/>
      <c r="D102" s="367"/>
      <c r="E102" s="367"/>
      <c r="F102" s="367"/>
      <c r="G102" s="367"/>
      <c r="H102" s="367"/>
      <c r="I102" s="367"/>
      <c r="J102" s="367"/>
    </row>
    <row r="103" spans="1:13" x14ac:dyDescent="0.3">
      <c r="A103" s="152"/>
      <c r="B103" s="258"/>
      <c r="C103" s="152"/>
      <c r="D103" s="152"/>
      <c r="E103" s="258"/>
      <c r="F103" s="152"/>
      <c r="G103" s="152"/>
      <c r="H103" s="152"/>
      <c r="I103" s="152"/>
      <c r="J103" s="152"/>
      <c r="K103" s="152"/>
      <c r="L103" s="152"/>
      <c r="M103" s="152"/>
    </row>
    <row r="104" spans="1:13" x14ac:dyDescent="0.3">
      <c r="A104" s="292"/>
      <c r="B104" s="261"/>
      <c r="C104" s="260"/>
      <c r="D104" s="260"/>
      <c r="E104" s="261"/>
      <c r="F104" s="260"/>
      <c r="G104" s="260"/>
      <c r="H104" s="260"/>
      <c r="I104" s="260"/>
      <c r="J104" s="262"/>
      <c r="K104" s="260"/>
      <c r="L104" s="262"/>
      <c r="M104" s="260"/>
    </row>
    <row r="105" spans="1:13" ht="43.2" x14ac:dyDescent="0.35">
      <c r="A105" s="293" t="s">
        <v>119</v>
      </c>
      <c r="B105" s="263" t="s">
        <v>107</v>
      </c>
      <c r="C105" s="263" t="s">
        <v>111</v>
      </c>
      <c r="D105" s="263" t="s">
        <v>108</v>
      </c>
      <c r="E105" s="263" t="s">
        <v>110</v>
      </c>
      <c r="F105" s="263" t="s">
        <v>109</v>
      </c>
      <c r="G105" s="264" t="s">
        <v>115</v>
      </c>
      <c r="H105" s="125"/>
    </row>
    <row r="106" spans="1:13" x14ac:dyDescent="0.3">
      <c r="A106" s="291" t="s">
        <v>130</v>
      </c>
      <c r="B106" s="265">
        <v>1600</v>
      </c>
      <c r="C106" s="265">
        <v>0.78</v>
      </c>
      <c r="D106" s="266">
        <v>12000</v>
      </c>
      <c r="E106" s="149">
        <v>1000</v>
      </c>
      <c r="F106" s="266">
        <f>D106/C106+E106</f>
        <v>16384.615384615383</v>
      </c>
      <c r="G106" s="267">
        <f>F106</f>
        <v>16384.615384615383</v>
      </c>
      <c r="H106" s="152" t="s">
        <v>116</v>
      </c>
    </row>
    <row r="107" spans="1:13" x14ac:dyDescent="0.3">
      <c r="A107" s="291" t="s">
        <v>128</v>
      </c>
      <c r="B107" s="265">
        <v>8</v>
      </c>
      <c r="C107" s="265">
        <v>0.33</v>
      </c>
      <c r="D107" s="266">
        <f>D40*B106</f>
        <v>3840</v>
      </c>
      <c r="E107" s="149">
        <v>0</v>
      </c>
      <c r="F107" s="266">
        <f>D107/C107</f>
        <v>11636.363636363636</v>
      </c>
      <c r="G107" s="268"/>
      <c r="H107" s="152"/>
    </row>
    <row r="108" spans="1:13" x14ac:dyDescent="0.3">
      <c r="A108" s="291" t="s">
        <v>129</v>
      </c>
      <c r="B108" s="265">
        <f>B106*24*1.1</f>
        <v>42240</v>
      </c>
      <c r="C108" s="265"/>
      <c r="D108" s="266">
        <f>F76*B108/1000</f>
        <v>9637.6309420770576</v>
      </c>
      <c r="F108" s="265"/>
      <c r="G108" s="267">
        <f>F107+D108</f>
        <v>21273.994578440695</v>
      </c>
      <c r="H108" s="152" t="s">
        <v>116</v>
      </c>
    </row>
    <row r="109" spans="1:13" x14ac:dyDescent="0.3">
      <c r="A109" s="291" t="s">
        <v>118</v>
      </c>
      <c r="B109" s="265">
        <f>B106*24*1.25</f>
        <v>48000</v>
      </c>
      <c r="C109" s="265"/>
      <c r="D109" s="266">
        <f>D74*B109/1000</f>
        <v>3840</v>
      </c>
      <c r="E109" s="265"/>
      <c r="F109" s="265"/>
      <c r="G109" s="267">
        <f>F107+D109</f>
        <v>15476.363636363636</v>
      </c>
      <c r="H109" s="152" t="s">
        <v>116</v>
      </c>
    </row>
    <row r="110" spans="1:13" x14ac:dyDescent="0.3">
      <c r="B110" s="265"/>
      <c r="C110" s="265"/>
      <c r="D110" s="266"/>
      <c r="E110" s="265"/>
      <c r="F110" s="265"/>
      <c r="G110" s="303"/>
      <c r="H110" s="152"/>
    </row>
    <row r="111" spans="1:13" x14ac:dyDescent="0.3">
      <c r="C111" s="149"/>
    </row>
    <row r="112" spans="1:13" ht="28.8" x14ac:dyDescent="0.3">
      <c r="A112" s="274" t="s">
        <v>140</v>
      </c>
      <c r="B112" s="177" t="s">
        <v>141</v>
      </c>
      <c r="C112" s="177" t="s">
        <v>142</v>
      </c>
      <c r="D112" s="177" t="s">
        <v>143</v>
      </c>
      <c r="E112" s="177"/>
      <c r="F112" s="177"/>
      <c r="G112" s="264"/>
      <c r="H112" s="126"/>
      <c r="L112" s="114" t="s">
        <v>173</v>
      </c>
    </row>
    <row r="113" spans="1:13" x14ac:dyDescent="0.3">
      <c r="A113" s="291" t="s">
        <v>144</v>
      </c>
      <c r="B113" s="149">
        <v>0.8</v>
      </c>
      <c r="C113" s="192">
        <f>100*24*365*B113</f>
        <v>700800</v>
      </c>
      <c r="D113" s="269">
        <f>D15*1000000/C113</f>
        <v>142310.38812785389</v>
      </c>
      <c r="E113" s="192"/>
      <c r="F113" s="270"/>
      <c r="G113" s="134" t="s">
        <v>184</v>
      </c>
    </row>
    <row r="114" spans="1:13" x14ac:dyDescent="0.3">
      <c r="C114" s="192"/>
      <c r="D114" s="270"/>
      <c r="E114" s="192"/>
      <c r="F114" s="270"/>
      <c r="G114" s="134"/>
    </row>
    <row r="115" spans="1:13" x14ac:dyDescent="0.3">
      <c r="C115" s="149"/>
      <c r="E115" s="114"/>
    </row>
    <row r="116" spans="1:13" x14ac:dyDescent="0.3">
      <c r="A116" s="299" t="s">
        <v>40</v>
      </c>
      <c r="C116" s="149"/>
      <c r="E116" s="114"/>
    </row>
    <row r="117" spans="1:13" ht="61.8" customHeight="1" x14ac:dyDescent="0.3">
      <c r="A117" s="369" t="s">
        <v>167</v>
      </c>
      <c r="B117" s="369"/>
      <c r="C117" s="369"/>
      <c r="D117" s="369"/>
      <c r="E117" s="369"/>
      <c r="F117" s="369"/>
      <c r="G117" s="369"/>
      <c r="H117" s="367"/>
      <c r="I117" s="362"/>
      <c r="J117" s="362"/>
      <c r="K117" s="362"/>
    </row>
    <row r="118" spans="1:13" ht="48.6" customHeight="1" x14ac:dyDescent="0.3">
      <c r="A118" s="368" t="s">
        <v>204</v>
      </c>
      <c r="B118" s="368"/>
      <c r="C118" s="368"/>
      <c r="D118" s="368"/>
      <c r="E118" s="368"/>
      <c r="F118" s="368"/>
      <c r="G118" s="368"/>
      <c r="H118" s="367"/>
      <c r="I118" s="362"/>
      <c r="J118" s="362"/>
      <c r="K118" s="362"/>
    </row>
    <row r="119" spans="1:13" ht="64.8" customHeight="1" x14ac:dyDescent="0.3">
      <c r="A119" s="368" t="s">
        <v>205</v>
      </c>
      <c r="B119" s="368"/>
      <c r="C119" s="368"/>
      <c r="D119" s="368"/>
      <c r="E119" s="368"/>
      <c r="F119" s="368"/>
      <c r="G119" s="368"/>
      <c r="H119" s="367"/>
      <c r="I119" s="362"/>
      <c r="J119" s="362"/>
      <c r="K119" s="362"/>
    </row>
    <row r="120" spans="1:13" ht="37.200000000000003" customHeight="1" x14ac:dyDescent="0.3">
      <c r="A120" s="368" t="s">
        <v>293</v>
      </c>
      <c r="B120" s="368"/>
      <c r="C120" s="368"/>
      <c r="D120" s="368"/>
      <c r="E120" s="368"/>
      <c r="F120" s="368"/>
      <c r="G120" s="368"/>
      <c r="H120" s="367"/>
      <c r="I120" s="362"/>
      <c r="J120" s="362"/>
      <c r="K120" s="362"/>
    </row>
    <row r="121" spans="1:13" ht="36" customHeight="1" x14ac:dyDescent="0.3">
      <c r="A121" s="368" t="s">
        <v>206</v>
      </c>
      <c r="B121" s="362"/>
      <c r="C121" s="362"/>
      <c r="D121" s="362"/>
      <c r="E121" s="362"/>
      <c r="F121" s="362"/>
      <c r="G121" s="362"/>
      <c r="H121" s="362"/>
      <c r="I121" s="362"/>
      <c r="J121" s="362"/>
      <c r="K121" s="362"/>
    </row>
    <row r="122" spans="1:13" ht="16.8" customHeight="1" x14ac:dyDescent="0.3">
      <c r="A122" s="296"/>
      <c r="B122" s="223"/>
      <c r="C122" s="223"/>
      <c r="D122" s="223"/>
      <c r="E122" s="223"/>
      <c r="F122" s="223"/>
      <c r="G122" s="223"/>
      <c r="L122" s="125"/>
    </row>
    <row r="123" spans="1:13" x14ac:dyDescent="0.3">
      <c r="A123" s="260"/>
      <c r="B123" s="261"/>
      <c r="C123" s="260"/>
      <c r="D123" s="260"/>
      <c r="E123" s="261"/>
      <c r="F123" s="260"/>
      <c r="G123" s="260"/>
      <c r="H123" s="260"/>
      <c r="I123" s="260"/>
      <c r="J123" s="260"/>
      <c r="K123" s="260"/>
      <c r="M123" s="260"/>
    </row>
    <row r="124" spans="1:13" ht="30.6" customHeight="1" x14ac:dyDescent="0.35">
      <c r="A124" s="300" t="s">
        <v>146</v>
      </c>
      <c r="B124" s="177" t="s">
        <v>145</v>
      </c>
      <c r="C124" s="177" t="s">
        <v>147</v>
      </c>
      <c r="D124" s="177" t="s">
        <v>296</v>
      </c>
      <c r="E124" s="126"/>
      <c r="F124" s="126"/>
      <c r="G124" s="129"/>
      <c r="H124" s="132"/>
    </row>
    <row r="125" spans="1:13" ht="18.600000000000001" customHeight="1" x14ac:dyDescent="0.3">
      <c r="A125" s="291" t="s">
        <v>185</v>
      </c>
      <c r="B125" s="149">
        <v>400</v>
      </c>
      <c r="C125" s="192">
        <f>B125*278/1000</f>
        <v>111.2</v>
      </c>
      <c r="D125" s="149">
        <f>C125*1000/B125</f>
        <v>278</v>
      </c>
      <c r="E125" s="114"/>
      <c r="G125" s="271"/>
    </row>
    <row r="126" spans="1:13" ht="19.8" customHeight="1" x14ac:dyDescent="0.3">
      <c r="A126" s="291" t="s">
        <v>186</v>
      </c>
      <c r="B126" s="149">
        <v>180000</v>
      </c>
      <c r="C126" s="269">
        <f>C125/B125*B126</f>
        <v>50040.000000000007</v>
      </c>
      <c r="E126" s="114"/>
      <c r="G126" s="271"/>
      <c r="H126" s="257"/>
    </row>
    <row r="127" spans="1:13" ht="19.2" customHeight="1" x14ac:dyDescent="0.3">
      <c r="A127" s="294" t="s">
        <v>187</v>
      </c>
      <c r="B127" s="166"/>
      <c r="C127" s="166">
        <v>2500</v>
      </c>
      <c r="D127" s="125"/>
      <c r="E127" s="125"/>
      <c r="F127" s="125"/>
      <c r="G127" s="272"/>
      <c r="H127" s="150"/>
      <c r="I127" s="152"/>
      <c r="J127" s="152"/>
    </row>
    <row r="128" spans="1:13" ht="18.600000000000001" customHeight="1" x14ac:dyDescent="0.3">
      <c r="A128" s="302"/>
      <c r="B128" s="258"/>
      <c r="C128" s="258"/>
      <c r="D128" s="152"/>
      <c r="E128" s="152"/>
      <c r="F128" s="152"/>
      <c r="G128" s="152"/>
      <c r="H128" s="152"/>
      <c r="I128" s="152"/>
      <c r="J128" s="152"/>
    </row>
    <row r="129" spans="1:12" ht="20.399999999999999" customHeight="1" x14ac:dyDescent="0.3">
      <c r="C129" s="149"/>
      <c r="E129" s="114"/>
      <c r="H129" s="132"/>
    </row>
    <row r="130" spans="1:12" ht="18" customHeight="1" x14ac:dyDescent="0.3">
      <c r="A130" s="113" t="s">
        <v>40</v>
      </c>
      <c r="C130" s="149"/>
      <c r="E130" s="114"/>
      <c r="L130" s="260" t="s">
        <v>172</v>
      </c>
    </row>
    <row r="131" spans="1:12" ht="56.4" customHeight="1" x14ac:dyDescent="0.3">
      <c r="A131" s="367" t="s">
        <v>233</v>
      </c>
      <c r="B131" s="362"/>
      <c r="C131" s="362"/>
      <c r="D131" s="362"/>
      <c r="E131" s="362"/>
      <c r="F131" s="362"/>
      <c r="G131" s="362"/>
      <c r="H131" s="362"/>
      <c r="I131" s="362"/>
      <c r="J131" s="362"/>
    </row>
    <row r="132" spans="1:12" x14ac:dyDescent="0.3">
      <c r="C132" s="149"/>
      <c r="E132" s="114"/>
    </row>
    <row r="133" spans="1:12" ht="57" customHeight="1" x14ac:dyDescent="0.3">
      <c r="A133" s="367" t="s">
        <v>292</v>
      </c>
      <c r="B133" s="362"/>
      <c r="C133" s="362"/>
      <c r="D133" s="362"/>
      <c r="E133" s="362"/>
      <c r="F133" s="362"/>
      <c r="G133" s="362"/>
      <c r="H133" s="362"/>
      <c r="I133" s="362"/>
      <c r="J133" s="362"/>
    </row>
    <row r="134" spans="1:12" x14ac:dyDescent="0.3">
      <c r="C134" s="149"/>
      <c r="E134" s="114"/>
    </row>
    <row r="135" spans="1:12" ht="29.4" customHeight="1" x14ac:dyDescent="0.3">
      <c r="A135" s="367" t="s">
        <v>291</v>
      </c>
      <c r="B135" s="362"/>
      <c r="C135" s="362"/>
      <c r="D135" s="362"/>
      <c r="E135" s="362"/>
      <c r="F135" s="362"/>
      <c r="G135" s="362"/>
      <c r="H135" s="362"/>
      <c r="I135" s="362"/>
      <c r="J135" s="362"/>
    </row>
    <row r="136" spans="1:12" x14ac:dyDescent="0.3">
      <c r="A136" s="361" t="s">
        <v>188</v>
      </c>
      <c r="B136" s="362"/>
      <c r="C136" s="362"/>
      <c r="D136" s="362"/>
      <c r="E136" s="362"/>
      <c r="F136" s="362"/>
      <c r="G136" s="362"/>
      <c r="H136" s="362"/>
      <c r="I136" s="362"/>
      <c r="J136" s="362"/>
    </row>
  </sheetData>
  <sheetProtection password="CCC4" sheet="1" objects="1" scenarios="1" insertRows="0" insertHyperlinks="0"/>
  <customSheetViews>
    <customSheetView guid="{4E8A5815-7803-4D13-9EE1-C2199B052AAC}">
      <selection activeCell="A121" sqref="A121:K121"/>
      <pageMargins left="0.25" right="0.25" top="0.75" bottom="0.75" header="0.3" footer="0.3"/>
      <pageSetup paperSize="9" scale="92" firstPageNumber="0" fitToHeight="0" orientation="landscape" horizontalDpi="300" verticalDpi="300" r:id="rId1"/>
    </customSheetView>
  </customSheetViews>
  <mergeCells count="29">
    <mergeCell ref="A97:J97"/>
    <mergeCell ref="A1:M1"/>
    <mergeCell ref="C6:D6"/>
    <mergeCell ref="G71:M71"/>
    <mergeCell ref="F33:L34"/>
    <mergeCell ref="G70:H70"/>
    <mergeCell ref="A3:L3"/>
    <mergeCell ref="A4:L4"/>
    <mergeCell ref="A82:J82"/>
    <mergeCell ref="A85:J85"/>
    <mergeCell ref="A87:J87"/>
    <mergeCell ref="A91:K91"/>
    <mergeCell ref="A95:J95"/>
    <mergeCell ref="A136:J136"/>
    <mergeCell ref="A100:J100"/>
    <mergeCell ref="A96:J96"/>
    <mergeCell ref="A83:J83"/>
    <mergeCell ref="A131:J131"/>
    <mergeCell ref="A133:J133"/>
    <mergeCell ref="A135:J135"/>
    <mergeCell ref="A121:K121"/>
    <mergeCell ref="A102:J102"/>
    <mergeCell ref="A119:K119"/>
    <mergeCell ref="A118:K118"/>
    <mergeCell ref="A117:K117"/>
    <mergeCell ref="A120:K120"/>
    <mergeCell ref="A89:J89"/>
    <mergeCell ref="A93:J93"/>
    <mergeCell ref="A99:J99"/>
  </mergeCells>
  <hyperlinks>
    <hyperlink ref="F22" r:id="rId2"/>
    <hyperlink ref="F32" r:id="rId3"/>
    <hyperlink ref="G72" r:id="rId4"/>
    <hyperlink ref="G74" r:id="rId5"/>
    <hyperlink ref="F9" r:id="rId6"/>
    <hyperlink ref="F8" r:id="rId7"/>
    <hyperlink ref="F66" r:id="rId8"/>
    <hyperlink ref="F15" r:id="rId9"/>
    <hyperlink ref="A136" r:id="rId10"/>
    <hyperlink ref="A100" r:id="rId11"/>
    <hyperlink ref="A96" r:id="rId12"/>
    <hyperlink ref="F21" r:id="rId13"/>
    <hyperlink ref="A83" r:id="rId14"/>
  </hyperlinks>
  <pageMargins left="0.25" right="0.25" top="0.75" bottom="0.75" header="0.3" footer="0.3"/>
  <pageSetup paperSize="9" scale="92" firstPageNumber="0" fitToHeight="0" orientation="landscape" horizontalDpi="300" verticalDpi="300"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40"/>
  <sheetViews>
    <sheetView topLeftCell="A105" workbookViewId="0">
      <selection activeCell="D114" sqref="D114"/>
    </sheetView>
  </sheetViews>
  <sheetFormatPr baseColWidth="10" defaultRowHeight="14.4" x14ac:dyDescent="0.3"/>
  <cols>
    <col min="1" max="1" width="36.109375" customWidth="1"/>
    <col min="2" max="2" width="12.21875" style="13" customWidth="1"/>
    <col min="3" max="3" width="12" style="13" customWidth="1"/>
    <col min="4" max="4" width="10.77734375" customWidth="1"/>
    <col min="11" max="11" width="14.44140625" customWidth="1"/>
  </cols>
  <sheetData>
    <row r="2" spans="1:8" s="14" customFormat="1" ht="15.6" x14ac:dyDescent="0.3">
      <c r="A2" s="71" t="s">
        <v>120</v>
      </c>
      <c r="B2" s="92" t="s">
        <v>77</v>
      </c>
      <c r="C2" s="93"/>
      <c r="D2" s="33"/>
      <c r="E2" s="33"/>
      <c r="F2" s="33"/>
    </row>
    <row r="3" spans="1:8" x14ac:dyDescent="0.3">
      <c r="A3" s="1" t="s">
        <v>223</v>
      </c>
      <c r="B3" s="43" t="s">
        <v>70</v>
      </c>
      <c r="C3" s="4"/>
      <c r="E3" t="s">
        <v>148</v>
      </c>
    </row>
    <row r="4" spans="1:8" x14ac:dyDescent="0.3">
      <c r="A4" t="s">
        <v>69</v>
      </c>
      <c r="B4" s="13">
        <v>17</v>
      </c>
    </row>
    <row r="5" spans="1:8" x14ac:dyDescent="0.3">
      <c r="A5" t="s">
        <v>71</v>
      </c>
      <c r="B5" s="13">
        <v>12</v>
      </c>
    </row>
    <row r="6" spans="1:8" x14ac:dyDescent="0.3">
      <c r="A6" t="s">
        <v>72</v>
      </c>
      <c r="B6" s="13">
        <v>2</v>
      </c>
    </row>
    <row r="7" spans="1:8" x14ac:dyDescent="0.3">
      <c r="A7" t="s">
        <v>73</v>
      </c>
      <c r="B7" s="13">
        <v>2</v>
      </c>
    </row>
    <row r="8" spans="1:8" x14ac:dyDescent="0.3">
      <c r="A8" t="s">
        <v>74</v>
      </c>
      <c r="B8" s="13">
        <v>8</v>
      </c>
    </row>
    <row r="9" spans="1:8" x14ac:dyDescent="0.3">
      <c r="A9" t="s">
        <v>75</v>
      </c>
      <c r="B9" s="13">
        <v>6</v>
      </c>
    </row>
    <row r="10" spans="1:8" x14ac:dyDescent="0.3">
      <c r="A10" t="s">
        <v>76</v>
      </c>
      <c r="B10" s="13">
        <v>3</v>
      </c>
    </row>
    <row r="12" spans="1:8" x14ac:dyDescent="0.3">
      <c r="A12" s="1" t="s">
        <v>78</v>
      </c>
    </row>
    <row r="13" spans="1:8" x14ac:dyDescent="0.3">
      <c r="A13" t="s">
        <v>79</v>
      </c>
      <c r="B13" s="13">
        <v>25</v>
      </c>
    </row>
    <row r="14" spans="1:8" x14ac:dyDescent="0.3">
      <c r="A14" t="s">
        <v>80</v>
      </c>
      <c r="B14" s="13">
        <v>12</v>
      </c>
    </row>
    <row r="15" spans="1:8" x14ac:dyDescent="0.3">
      <c r="A15" t="s">
        <v>81</v>
      </c>
      <c r="B15" s="13">
        <v>7</v>
      </c>
    </row>
    <row r="16" spans="1:8" x14ac:dyDescent="0.3">
      <c r="A16" s="6" t="s">
        <v>82</v>
      </c>
      <c r="B16" s="8">
        <v>7</v>
      </c>
      <c r="C16" s="8"/>
      <c r="D16" s="6"/>
      <c r="E16" s="6"/>
      <c r="F16" s="6"/>
      <c r="G16" s="6"/>
      <c r="H16" s="6"/>
    </row>
    <row r="19" spans="1:12 1025:1025" ht="15.6" x14ac:dyDescent="0.3">
      <c r="A19" s="3" t="s">
        <v>117</v>
      </c>
    </row>
    <row r="20" spans="1:12 1025:1025" s="1" customFormat="1" ht="28.2" customHeight="1" x14ac:dyDescent="0.3">
      <c r="A20" s="5" t="s">
        <v>159</v>
      </c>
      <c r="B20" s="20" t="s">
        <v>96</v>
      </c>
      <c r="C20" s="20" t="s">
        <v>103</v>
      </c>
      <c r="D20" s="20" t="s">
        <v>104</v>
      </c>
      <c r="E20" s="20" t="s">
        <v>99</v>
      </c>
      <c r="F20" s="20" t="s">
        <v>105</v>
      </c>
      <c r="G20" s="20" t="s">
        <v>98</v>
      </c>
      <c r="H20" s="20" t="s">
        <v>100</v>
      </c>
      <c r="I20" s="18"/>
    </row>
    <row r="21" spans="1:12 1025:1025" s="1" customFormat="1" ht="13.8" customHeight="1" x14ac:dyDescent="0.3">
      <c r="A21" s="11" t="s">
        <v>97</v>
      </c>
      <c r="B21" s="9" t="s">
        <v>102</v>
      </c>
      <c r="C21" s="4"/>
      <c r="D21" s="4"/>
      <c r="E21" s="9"/>
      <c r="F21" s="9"/>
      <c r="G21" s="9"/>
      <c r="H21" s="9"/>
      <c r="I21" s="18"/>
    </row>
    <row r="22" spans="1:12 1025:1025" s="1" customFormat="1" ht="13.8" customHeight="1" x14ac:dyDescent="0.3">
      <c r="A22" s="32" t="s">
        <v>155</v>
      </c>
      <c r="B22" s="13">
        <v>50</v>
      </c>
      <c r="C22" s="13">
        <v>5</v>
      </c>
      <c r="D22" s="13">
        <v>2.5</v>
      </c>
      <c r="E22" s="9">
        <v>600</v>
      </c>
      <c r="F22" s="9">
        <v>300</v>
      </c>
      <c r="G22" s="9">
        <v>4000</v>
      </c>
      <c r="H22" s="9">
        <v>15</v>
      </c>
      <c r="I22" s="18" t="s">
        <v>101</v>
      </c>
    </row>
    <row r="23" spans="1:12 1025:1025" s="1" customFormat="1" ht="13.8" customHeight="1" x14ac:dyDescent="0.3">
      <c r="A23" s="32" t="s">
        <v>156</v>
      </c>
      <c r="B23" s="9"/>
      <c r="C23" s="9"/>
      <c r="D23" s="4"/>
      <c r="E23" s="9">
        <v>1200</v>
      </c>
      <c r="F23" s="9">
        <v>250</v>
      </c>
      <c r="G23" s="9"/>
      <c r="H23" s="9">
        <v>10</v>
      </c>
      <c r="I23" s="18" t="s">
        <v>106</v>
      </c>
    </row>
    <row r="24" spans="1:12 1025:1025" s="1" customFormat="1" ht="13.8" customHeight="1" x14ac:dyDescent="0.3">
      <c r="A24" s="32"/>
      <c r="B24" s="9"/>
      <c r="C24" s="9"/>
      <c r="D24" s="4"/>
      <c r="E24" s="9"/>
      <c r="F24" s="9"/>
      <c r="G24" s="9"/>
      <c r="H24" s="9"/>
      <c r="I24" s="57"/>
    </row>
    <row r="25" spans="1:12 1025:1025" s="1" customFormat="1" ht="13.8" customHeight="1" x14ac:dyDescent="0.3">
      <c r="A25" s="51" t="s">
        <v>226</v>
      </c>
      <c r="B25" s="52"/>
      <c r="C25" s="52"/>
      <c r="D25" s="7"/>
      <c r="E25" s="94"/>
      <c r="F25" s="52"/>
      <c r="G25" s="52"/>
      <c r="H25" s="53"/>
      <c r="I25" s="58"/>
      <c r="J25" s="5"/>
    </row>
    <row r="26" spans="1:12 1025:1025" s="1" customFormat="1" ht="13.8" customHeight="1" x14ac:dyDescent="0.3">
      <c r="A26" s="17"/>
      <c r="B26" s="2" t="s">
        <v>160</v>
      </c>
      <c r="C26" s="2"/>
      <c r="E26" s="95" t="s">
        <v>149</v>
      </c>
      <c r="F26" s="2"/>
      <c r="G26"/>
      <c r="H26" s="9"/>
      <c r="I26" s="18"/>
    </row>
    <row r="27" spans="1:12 1025:1025" s="1" customFormat="1" ht="13.8" customHeight="1" x14ac:dyDescent="0.3">
      <c r="B27" s="2">
        <v>50</v>
      </c>
      <c r="C27" s="2" t="s">
        <v>150</v>
      </c>
      <c r="E27" s="78" t="s">
        <v>151</v>
      </c>
      <c r="F27" s="2"/>
      <c r="G27"/>
      <c r="H27" s="9"/>
      <c r="I27" s="18"/>
    </row>
    <row r="28" spans="1:12 1025:1025" s="14" customFormat="1" ht="15.6" x14ac:dyDescent="0.3">
      <c r="A28" s="45" t="s">
        <v>157</v>
      </c>
      <c r="B28" s="46"/>
      <c r="C28" s="47">
        <v>0.05</v>
      </c>
      <c r="D28" s="2" t="s">
        <v>152</v>
      </c>
      <c r="E28" s="96"/>
      <c r="F28" s="2"/>
      <c r="G28" s="2"/>
      <c r="H28" s="48"/>
      <c r="I28" s="49"/>
      <c r="J28" s="50"/>
      <c r="K28" s="15"/>
      <c r="L28" s="15"/>
      <c r="AMK28"/>
    </row>
    <row r="29" spans="1:12 1025:1025" s="14" customFormat="1" ht="15.6" x14ac:dyDescent="0.3">
      <c r="A29" s="54" t="s">
        <v>158</v>
      </c>
      <c r="B29" s="55">
        <f>B27*C28</f>
        <v>2.5</v>
      </c>
      <c r="C29" s="55" t="s">
        <v>153</v>
      </c>
      <c r="E29" s="97" t="s">
        <v>358</v>
      </c>
      <c r="F29" s="2"/>
      <c r="G29"/>
      <c r="I29" s="15"/>
      <c r="J29" s="15"/>
      <c r="K29" s="15"/>
      <c r="L29" s="15"/>
      <c r="AMK29"/>
    </row>
    <row r="30" spans="1:12 1025:1025" s="14" customFormat="1" ht="15.6" x14ac:dyDescent="0.3">
      <c r="A30" s="54"/>
      <c r="B30" s="55"/>
      <c r="C30" s="55"/>
      <c r="E30" s="96" t="s">
        <v>154</v>
      </c>
      <c r="F30" s="2"/>
      <c r="G30"/>
      <c r="I30" s="15"/>
      <c r="J30" s="15"/>
      <c r="K30" s="15"/>
      <c r="L30" s="15"/>
      <c r="AMK30"/>
    </row>
    <row r="31" spans="1:12 1025:1025" s="14" customFormat="1" ht="15.6" x14ac:dyDescent="0.3">
      <c r="A31" s="44"/>
      <c r="B31" s="6"/>
      <c r="C31" s="6"/>
      <c r="D31" s="33"/>
      <c r="E31" s="112" t="s">
        <v>304</v>
      </c>
      <c r="F31" s="6"/>
      <c r="G31" s="6"/>
      <c r="H31" s="56"/>
      <c r="I31" s="59"/>
      <c r="J31" s="59"/>
      <c r="K31" s="15"/>
      <c r="L31" s="15"/>
      <c r="AMK31"/>
    </row>
    <row r="32" spans="1:12 1025:1025" s="14" customFormat="1" ht="27.6" customHeight="1" x14ac:dyDescent="0.3">
      <c r="A32" s="2"/>
      <c r="B32" s="2"/>
      <c r="C32" s="306" t="s">
        <v>313</v>
      </c>
      <c r="D32" s="306" t="s">
        <v>314</v>
      </c>
      <c r="E32" s="89"/>
      <c r="F32" s="2"/>
      <c r="G32" s="2"/>
      <c r="H32" s="37"/>
      <c r="I32" s="24"/>
      <c r="J32" s="24"/>
      <c r="K32" s="15"/>
      <c r="L32" s="15"/>
      <c r="AMK32"/>
    </row>
    <row r="33" spans="1:12 1025:1025" s="14" customFormat="1" ht="28.2" customHeight="1" x14ac:dyDescent="0.3">
      <c r="A33" s="60" t="s">
        <v>315</v>
      </c>
      <c r="B33" s="2"/>
      <c r="C33" s="305">
        <f>12000000/2*5/1000/0.65</f>
        <v>46153.846153846149</v>
      </c>
      <c r="D33" s="305">
        <f>12000000/2*3/1000/0.65</f>
        <v>27692.307692307691</v>
      </c>
      <c r="E33" s="304" t="s">
        <v>312</v>
      </c>
      <c r="F33" s="6"/>
      <c r="G33" s="6"/>
      <c r="H33" s="56"/>
      <c r="I33" s="59"/>
      <c r="J33" s="59"/>
      <c r="K33" s="15"/>
      <c r="L33" s="15"/>
      <c r="AMK33"/>
    </row>
    <row r="34" spans="1:12 1025:1025" s="14" customFormat="1" ht="15.6" x14ac:dyDescent="0.3">
      <c r="A34" s="64"/>
      <c r="B34" s="64"/>
      <c r="C34" s="64"/>
      <c r="D34" s="90"/>
      <c r="E34" s="96"/>
      <c r="F34" s="2"/>
      <c r="G34" s="2"/>
      <c r="H34" s="37"/>
      <c r="I34" s="24"/>
      <c r="J34" s="24"/>
      <c r="K34" s="15"/>
      <c r="L34" s="15"/>
      <c r="AMK34"/>
    </row>
    <row r="35" spans="1:12 1025:1025" s="3" customFormat="1" ht="15.6" x14ac:dyDescent="0.3">
      <c r="A35" s="51" t="s">
        <v>227</v>
      </c>
      <c r="B35" s="5"/>
      <c r="C35" s="87" t="s">
        <v>219</v>
      </c>
      <c r="D35" s="88"/>
      <c r="E35" s="89"/>
      <c r="F35" s="82"/>
      <c r="G35" s="82"/>
      <c r="H35" s="83"/>
      <c r="I35" s="50"/>
      <c r="J35" s="50"/>
      <c r="K35" s="25"/>
      <c r="L35" s="25"/>
      <c r="AMK35" s="1"/>
    </row>
    <row r="36" spans="1:12 1025:1025" s="14" customFormat="1" ht="15.6" x14ac:dyDescent="0.3">
      <c r="A36" s="32" t="s">
        <v>220</v>
      </c>
      <c r="B36" s="9"/>
      <c r="C36" s="91">
        <v>30000</v>
      </c>
      <c r="D36" s="43"/>
      <c r="E36" s="84" t="s">
        <v>224</v>
      </c>
      <c r="F36" s="9"/>
      <c r="G36" s="9"/>
      <c r="I36" s="15"/>
      <c r="J36" s="15"/>
      <c r="K36" s="15"/>
      <c r="L36" s="15"/>
      <c r="AMK36"/>
    </row>
    <row r="37" spans="1:12 1025:1025" s="14" customFormat="1" ht="15.6" x14ac:dyDescent="0.3">
      <c r="A37" s="32"/>
      <c r="B37" s="9"/>
      <c r="C37" s="9"/>
      <c r="D37" s="43"/>
      <c r="E37" s="85"/>
      <c r="F37" s="9"/>
      <c r="G37" s="9"/>
      <c r="I37" s="15"/>
      <c r="J37" s="15"/>
      <c r="K37" s="15"/>
      <c r="L37" s="15"/>
      <c r="AMK37"/>
    </row>
    <row r="38" spans="1:12 1025:1025" x14ac:dyDescent="0.3">
      <c r="E38" s="13"/>
      <c r="F38" s="13"/>
    </row>
    <row r="39" spans="1:12 1025:1025" ht="41.4" x14ac:dyDescent="0.3">
      <c r="A39" s="5" t="s">
        <v>88</v>
      </c>
      <c r="B39" s="33"/>
      <c r="C39" s="33"/>
      <c r="D39" s="29" t="s">
        <v>89</v>
      </c>
      <c r="E39" s="30" t="s">
        <v>92</v>
      </c>
      <c r="F39" s="28" t="s">
        <v>93</v>
      </c>
      <c r="G39" s="38" t="s">
        <v>90</v>
      </c>
      <c r="H39" s="44"/>
      <c r="I39" s="6"/>
      <c r="J39" s="6"/>
    </row>
    <row r="40" spans="1:12 1025:1025" s="9" customFormat="1" ht="16.2" customHeight="1" x14ac:dyDescent="0.3">
      <c r="A40" s="15" t="s">
        <v>91</v>
      </c>
      <c r="B40" s="26"/>
      <c r="C40" s="26"/>
      <c r="D40" s="31">
        <v>14000</v>
      </c>
      <c r="E40" s="31">
        <v>600</v>
      </c>
      <c r="F40" s="31">
        <v>300</v>
      </c>
      <c r="G40" s="39">
        <f>'Calculs énergie'!D11*((E40+F40)/2)/365/24</f>
        <v>688.35616438356158</v>
      </c>
      <c r="H40" s="27" t="s">
        <v>95</v>
      </c>
    </row>
    <row r="41" spans="1:12 1025:1025" x14ac:dyDescent="0.3">
      <c r="A41" s="15" t="s">
        <v>94</v>
      </c>
      <c r="B41" s="26"/>
      <c r="C41" s="26"/>
      <c r="D41" s="26">
        <v>255</v>
      </c>
      <c r="E41" s="31">
        <v>600</v>
      </c>
      <c r="F41" s="31">
        <v>300</v>
      </c>
      <c r="G41" s="39">
        <f>D41*((E41+F41)/2)/365/24</f>
        <v>13.09931506849315</v>
      </c>
    </row>
    <row r="42" spans="1:12 1025:1025" x14ac:dyDescent="0.3">
      <c r="A42" s="21" t="s">
        <v>68</v>
      </c>
      <c r="B42" s="26"/>
      <c r="C42" s="26"/>
      <c r="D42" s="26"/>
      <c r="E42" s="31"/>
      <c r="F42" s="31"/>
      <c r="G42" s="39"/>
    </row>
    <row r="43" spans="1:12 1025:1025" x14ac:dyDescent="0.3">
      <c r="G43" s="2"/>
    </row>
    <row r="44" spans="1:12 1025:1025" x14ac:dyDescent="0.3">
      <c r="G44" s="2"/>
    </row>
    <row r="45" spans="1:12 1025:1025" ht="31.8" customHeight="1" x14ac:dyDescent="0.3">
      <c r="A45" s="5" t="s">
        <v>132</v>
      </c>
      <c r="B45" s="7">
        <v>13500</v>
      </c>
      <c r="C45" s="8"/>
      <c r="D45" s="6"/>
      <c r="E45" s="6"/>
      <c r="F45" s="6"/>
      <c r="G45" s="41"/>
    </row>
    <row r="46" spans="1:12 1025:1025" x14ac:dyDescent="0.3">
      <c r="A46" s="22" t="s">
        <v>131</v>
      </c>
      <c r="B46" s="12">
        <v>989</v>
      </c>
      <c r="C46" s="12">
        <v>846</v>
      </c>
      <c r="D46" s="12"/>
      <c r="E46" s="12"/>
      <c r="F46" s="12"/>
      <c r="G46" s="42"/>
    </row>
    <row r="47" spans="1:12 1025:1025" x14ac:dyDescent="0.3">
      <c r="A47" t="s">
        <v>133</v>
      </c>
      <c r="B47" s="13">
        <v>80</v>
      </c>
      <c r="C47" s="13">
        <v>60</v>
      </c>
      <c r="G47" s="40"/>
    </row>
    <row r="48" spans="1:12 1025:1025" x14ac:dyDescent="0.3">
      <c r="A48" t="s">
        <v>134</v>
      </c>
      <c r="B48" s="13">
        <v>1000</v>
      </c>
      <c r="D48" s="36" t="s">
        <v>135</v>
      </c>
      <c r="G48" s="40"/>
    </row>
    <row r="49" spans="1:12" x14ac:dyDescent="0.3">
      <c r="G49" s="40"/>
    </row>
    <row r="50" spans="1:12" x14ac:dyDescent="0.3">
      <c r="G50" s="2"/>
    </row>
    <row r="51" spans="1:12" ht="36.6" customHeight="1" x14ac:dyDescent="0.35">
      <c r="A51" s="35" t="s">
        <v>393</v>
      </c>
      <c r="B51" s="20"/>
      <c r="C51" s="65" t="s">
        <v>178</v>
      </c>
      <c r="D51" s="65" t="s">
        <v>179</v>
      </c>
      <c r="E51" s="19"/>
      <c r="F51" s="391" t="s">
        <v>174</v>
      </c>
      <c r="G51" s="392"/>
      <c r="H51" s="392"/>
      <c r="I51" s="392"/>
      <c r="J51" s="392"/>
      <c r="K51" s="392"/>
      <c r="L51" s="392"/>
    </row>
    <row r="52" spans="1:12" x14ac:dyDescent="0.3">
      <c r="A52" t="s">
        <v>181</v>
      </c>
      <c r="C52" s="66">
        <v>80</v>
      </c>
      <c r="D52" s="67">
        <v>300</v>
      </c>
      <c r="F52" s="17"/>
      <c r="G52" s="2"/>
      <c r="H52" s="2"/>
      <c r="I52" s="2"/>
      <c r="J52" s="2"/>
      <c r="K52" s="2"/>
      <c r="L52" s="2"/>
    </row>
    <row r="53" spans="1:12" ht="15.6" customHeight="1" x14ac:dyDescent="0.3">
      <c r="A53" t="s">
        <v>180</v>
      </c>
      <c r="C53" s="68"/>
      <c r="D53" s="67">
        <v>670</v>
      </c>
      <c r="F53" s="17"/>
      <c r="G53" s="2"/>
      <c r="H53" s="61"/>
      <c r="I53" s="2"/>
      <c r="J53" s="2"/>
      <c r="K53" s="2"/>
      <c r="L53" s="2"/>
    </row>
    <row r="54" spans="1:12" x14ac:dyDescent="0.3">
      <c r="A54" s="2" t="s">
        <v>175</v>
      </c>
      <c r="B54" s="34"/>
      <c r="C54" s="69">
        <v>230</v>
      </c>
      <c r="D54" s="69">
        <v>920</v>
      </c>
      <c r="E54" s="40"/>
      <c r="F54" s="17"/>
      <c r="G54" s="2"/>
      <c r="H54" s="2"/>
      <c r="I54" s="2"/>
      <c r="J54" s="2"/>
      <c r="K54" s="2"/>
      <c r="L54" s="2"/>
    </row>
    <row r="55" spans="1:12" ht="16.2" customHeight="1" x14ac:dyDescent="0.3">
      <c r="A55" s="46" t="s">
        <v>176</v>
      </c>
      <c r="C55" s="67">
        <v>60</v>
      </c>
      <c r="D55" s="67">
        <v>160</v>
      </c>
      <c r="F55" s="17"/>
      <c r="G55" s="2"/>
      <c r="H55" s="60"/>
      <c r="I55" s="2"/>
      <c r="J55" s="2"/>
      <c r="K55" s="2"/>
      <c r="L55" s="2"/>
    </row>
    <row r="56" spans="1:12" x14ac:dyDescent="0.3">
      <c r="A56" s="46" t="s">
        <v>177</v>
      </c>
      <c r="C56" s="67">
        <v>20</v>
      </c>
      <c r="D56" s="67">
        <v>90</v>
      </c>
      <c r="F56" s="17"/>
      <c r="G56" s="2"/>
      <c r="H56" s="2"/>
      <c r="I56" s="2"/>
      <c r="J56" s="2"/>
      <c r="K56" s="2"/>
      <c r="L56" s="2"/>
    </row>
    <row r="57" spans="1:12" ht="13.8" customHeight="1" x14ac:dyDescent="0.3">
      <c r="A57" s="63"/>
      <c r="B57" s="62"/>
      <c r="C57" s="62"/>
      <c r="D57" s="62"/>
      <c r="E57" s="62"/>
      <c r="F57" s="62"/>
      <c r="G57" s="62"/>
      <c r="H57" s="62"/>
      <c r="I57" s="62"/>
      <c r="J57" s="62"/>
    </row>
    <row r="58" spans="1:12" x14ac:dyDescent="0.3">
      <c r="A58" s="55" t="s">
        <v>183</v>
      </c>
    </row>
    <row r="59" spans="1:12" ht="15" customHeight="1" x14ac:dyDescent="0.3">
      <c r="A59" s="386" t="s">
        <v>182</v>
      </c>
      <c r="B59" s="393"/>
      <c r="C59" s="393"/>
      <c r="D59" s="393"/>
      <c r="E59" s="393"/>
      <c r="F59" s="393"/>
      <c r="G59" s="393"/>
      <c r="H59" s="393"/>
      <c r="I59" s="393"/>
      <c r="J59" s="62"/>
    </row>
    <row r="60" spans="1:12" x14ac:dyDescent="0.3">
      <c r="A60" s="393"/>
      <c r="B60" s="393"/>
      <c r="C60" s="393"/>
      <c r="D60" s="393"/>
      <c r="E60" s="393"/>
      <c r="F60" s="393"/>
      <c r="G60" s="393"/>
      <c r="H60" s="393"/>
      <c r="I60" s="393"/>
    </row>
    <row r="61" spans="1:12" x14ac:dyDescent="0.3">
      <c r="A61" s="70"/>
      <c r="B61" s="70"/>
      <c r="C61" s="70"/>
      <c r="D61" s="70"/>
      <c r="E61" s="70"/>
      <c r="F61" s="70"/>
      <c r="G61" s="70"/>
      <c r="H61" s="70"/>
      <c r="I61" s="70"/>
    </row>
    <row r="62" spans="1:12" ht="15" customHeight="1" x14ac:dyDescent="0.3">
      <c r="A62" s="63"/>
      <c r="B62" s="62"/>
      <c r="C62" s="62"/>
      <c r="D62" s="62"/>
      <c r="E62" s="62"/>
      <c r="F62" s="62"/>
      <c r="G62" s="62"/>
      <c r="H62" s="62"/>
      <c r="I62" s="62"/>
      <c r="J62" s="62"/>
    </row>
    <row r="63" spans="1:12" ht="15.6" x14ac:dyDescent="0.3">
      <c r="A63" s="3" t="s">
        <v>225</v>
      </c>
    </row>
    <row r="64" spans="1:12" ht="15.6" x14ac:dyDescent="0.3">
      <c r="A64" s="71" t="s">
        <v>191</v>
      </c>
      <c r="B64" s="72" t="s">
        <v>192</v>
      </c>
      <c r="C64" s="8"/>
      <c r="D64" s="5" t="s">
        <v>196</v>
      </c>
      <c r="E64" s="6"/>
      <c r="F64" s="16" t="s">
        <v>199</v>
      </c>
      <c r="G64" s="6"/>
      <c r="H64" s="6"/>
      <c r="I64" s="6"/>
    </row>
    <row r="65" spans="1:9" x14ac:dyDescent="0.3">
      <c r="A65" t="s">
        <v>200</v>
      </c>
      <c r="B65" s="74">
        <v>1.8</v>
      </c>
      <c r="F65" s="23" t="s">
        <v>201</v>
      </c>
    </row>
    <row r="66" spans="1:9" x14ac:dyDescent="0.3">
      <c r="A66" t="s">
        <v>194</v>
      </c>
      <c r="B66" s="74">
        <v>1.1000000000000001</v>
      </c>
      <c r="F66" s="23" t="s">
        <v>197</v>
      </c>
    </row>
    <row r="67" spans="1:9" x14ac:dyDescent="0.3">
      <c r="A67" t="s">
        <v>193</v>
      </c>
      <c r="B67" s="74">
        <v>0.42</v>
      </c>
      <c r="F67" s="23" t="s">
        <v>202</v>
      </c>
    </row>
    <row r="68" spans="1:9" x14ac:dyDescent="0.3">
      <c r="A68" s="40" t="s">
        <v>203</v>
      </c>
      <c r="B68" s="73">
        <v>-0.12</v>
      </c>
      <c r="F68" s="17"/>
    </row>
    <row r="69" spans="1:9" x14ac:dyDescent="0.3">
      <c r="A69" s="6"/>
      <c r="B69" s="76"/>
      <c r="C69" s="8"/>
      <c r="D69" s="6"/>
      <c r="E69" s="6"/>
      <c r="F69" s="23"/>
    </row>
    <row r="70" spans="1:9" s="1" customFormat="1" x14ac:dyDescent="0.3">
      <c r="A70" s="1" t="s">
        <v>195</v>
      </c>
      <c r="B70" s="75">
        <f>SUM(B65:B69)</f>
        <v>3.2</v>
      </c>
      <c r="C70" s="4"/>
      <c r="D70" s="10">
        <f>B70/F72*1000</f>
        <v>1792</v>
      </c>
      <c r="F70" s="57"/>
    </row>
    <row r="71" spans="1:9" x14ac:dyDescent="0.3">
      <c r="B71" s="74"/>
      <c r="D71" s="13"/>
      <c r="F71" s="17"/>
    </row>
    <row r="72" spans="1:9" x14ac:dyDescent="0.3">
      <c r="A72" t="s">
        <v>198</v>
      </c>
      <c r="B72" s="74">
        <v>12.5</v>
      </c>
      <c r="D72" s="13">
        <v>7000</v>
      </c>
      <c r="F72" s="74">
        <f>(B72*1000)/D72</f>
        <v>1.7857142857142858</v>
      </c>
    </row>
    <row r="73" spans="1:9" x14ac:dyDescent="0.3">
      <c r="B73" s="74"/>
      <c r="F73" s="17"/>
    </row>
    <row r="76" spans="1:9" s="11" customFormat="1" ht="15.6" x14ac:dyDescent="0.3">
      <c r="A76" s="71" t="s">
        <v>392</v>
      </c>
      <c r="B76" s="72" t="s">
        <v>209</v>
      </c>
      <c r="C76" s="7" t="s">
        <v>210</v>
      </c>
      <c r="D76" s="5"/>
      <c r="E76" s="5" t="s">
        <v>215</v>
      </c>
      <c r="F76" s="16" t="s">
        <v>214</v>
      </c>
      <c r="G76" s="5"/>
      <c r="H76" s="5"/>
      <c r="I76" s="5"/>
    </row>
    <row r="77" spans="1:9" s="15" customFormat="1" x14ac:dyDescent="0.3">
      <c r="A77" s="11" t="s">
        <v>207</v>
      </c>
      <c r="B77" s="319">
        <v>1330</v>
      </c>
      <c r="C77" s="9">
        <f>B77*0.8</f>
        <v>1064</v>
      </c>
      <c r="D77" s="11"/>
      <c r="E77" s="81"/>
      <c r="F77" s="78" t="s">
        <v>212</v>
      </c>
    </row>
    <row r="78" spans="1:9" s="15" customFormat="1" x14ac:dyDescent="0.3">
      <c r="A78" s="11" t="s">
        <v>217</v>
      </c>
      <c r="B78" s="319"/>
      <c r="C78" s="81">
        <v>12.4</v>
      </c>
      <c r="D78" s="11"/>
      <c r="E78" s="81">
        <v>24</v>
      </c>
      <c r="F78" s="78"/>
    </row>
    <row r="79" spans="1:9" s="15" customFormat="1" x14ac:dyDescent="0.3">
      <c r="A79" s="79" t="s">
        <v>208</v>
      </c>
      <c r="B79" s="320"/>
      <c r="C79" s="80">
        <v>34.700000000000003</v>
      </c>
      <c r="D79" s="79"/>
      <c r="E79" s="80">
        <v>79</v>
      </c>
      <c r="F79" s="78" t="s">
        <v>211</v>
      </c>
    </row>
    <row r="80" spans="1:9" x14ac:dyDescent="0.3">
      <c r="A80" t="s">
        <v>213</v>
      </c>
      <c r="B80" s="73"/>
      <c r="C80" s="86">
        <f>C77/((C79+C78)*0.87)</f>
        <v>25.965785684652364</v>
      </c>
      <c r="E80" s="77"/>
      <c r="F80" s="17" t="s">
        <v>216</v>
      </c>
    </row>
    <row r="81" spans="1:13" x14ac:dyDescent="0.3">
      <c r="E81" s="77"/>
      <c r="F81" s="17"/>
    </row>
    <row r="83" spans="1:13" s="1" customFormat="1" ht="28.8" x14ac:dyDescent="0.3">
      <c r="A83" s="19" t="s">
        <v>359</v>
      </c>
      <c r="B83" s="314" t="s">
        <v>316</v>
      </c>
      <c r="C83" s="308"/>
      <c r="D83" s="324" t="s">
        <v>325</v>
      </c>
      <c r="E83" s="308"/>
      <c r="F83" s="395" t="s">
        <v>333</v>
      </c>
      <c r="G83" s="396"/>
      <c r="H83" s="396"/>
      <c r="I83" s="396"/>
      <c r="J83" s="396"/>
      <c r="K83" s="396"/>
      <c r="L83" s="396"/>
    </row>
    <row r="84" spans="1:13" x14ac:dyDescent="0.3">
      <c r="A84" s="11" t="s">
        <v>319</v>
      </c>
      <c r="B84" s="315">
        <v>1400</v>
      </c>
      <c r="C84" s="310"/>
      <c r="D84" s="310">
        <v>300</v>
      </c>
      <c r="E84" s="310"/>
      <c r="F84" s="307" t="s">
        <v>323</v>
      </c>
    </row>
    <row r="85" spans="1:13" x14ac:dyDescent="0.3">
      <c r="A85" s="325" t="s">
        <v>328</v>
      </c>
      <c r="B85" s="315">
        <v>300</v>
      </c>
      <c r="C85" s="310"/>
      <c r="D85" s="310">
        <v>200</v>
      </c>
      <c r="E85" s="310"/>
      <c r="F85" s="17" t="s">
        <v>329</v>
      </c>
    </row>
    <row r="86" spans="1:13" x14ac:dyDescent="0.3">
      <c r="A86" t="s">
        <v>317</v>
      </c>
      <c r="B86" s="316">
        <v>1200</v>
      </c>
      <c r="C86" s="310"/>
      <c r="D86" s="310">
        <v>500</v>
      </c>
      <c r="E86" s="310"/>
      <c r="F86" s="17" t="s">
        <v>330</v>
      </c>
    </row>
    <row r="87" spans="1:13" x14ac:dyDescent="0.3">
      <c r="A87" t="s">
        <v>318</v>
      </c>
      <c r="B87" s="316">
        <v>1400</v>
      </c>
      <c r="C87" s="310"/>
      <c r="D87" s="310">
        <v>1000</v>
      </c>
      <c r="E87" s="310"/>
      <c r="F87" s="17" t="s">
        <v>331</v>
      </c>
    </row>
    <row r="88" spans="1:13" x14ac:dyDescent="0.3">
      <c r="A88" t="s">
        <v>320</v>
      </c>
      <c r="B88" s="316">
        <v>500</v>
      </c>
      <c r="C88" s="310"/>
      <c r="D88" s="310">
        <v>300</v>
      </c>
      <c r="E88" s="310"/>
      <c r="F88" s="394" t="s">
        <v>321</v>
      </c>
      <c r="G88" s="386"/>
      <c r="H88" s="386"/>
      <c r="I88" s="386"/>
      <c r="J88" s="386"/>
      <c r="K88" s="386"/>
      <c r="L88" s="386"/>
      <c r="M88" s="386"/>
    </row>
    <row r="89" spans="1:13" ht="28.2" customHeight="1" x14ac:dyDescent="0.3">
      <c r="A89" s="311" t="s">
        <v>327</v>
      </c>
      <c r="B89" s="316">
        <v>1000</v>
      </c>
      <c r="C89" s="310"/>
      <c r="D89" s="310">
        <v>500</v>
      </c>
      <c r="E89" s="310"/>
      <c r="F89" s="394" t="s">
        <v>332</v>
      </c>
      <c r="G89" s="386"/>
      <c r="H89" s="386"/>
      <c r="I89" s="386"/>
      <c r="J89" s="386"/>
      <c r="K89" s="386"/>
      <c r="L89" s="386"/>
      <c r="M89" s="386"/>
    </row>
    <row r="90" spans="1:13" ht="41.4" customHeight="1" x14ac:dyDescent="0.3">
      <c r="A90" s="313" t="s">
        <v>324</v>
      </c>
      <c r="B90" s="317">
        <v>1200</v>
      </c>
      <c r="C90" s="312"/>
      <c r="D90" s="312">
        <v>900</v>
      </c>
      <c r="E90" s="312"/>
      <c r="F90" s="394" t="s">
        <v>326</v>
      </c>
      <c r="G90" s="390"/>
      <c r="H90" s="390"/>
      <c r="I90" s="390"/>
      <c r="J90" s="390"/>
      <c r="K90" s="390"/>
      <c r="L90" s="390"/>
    </row>
    <row r="91" spans="1:13" s="1" customFormat="1" x14ac:dyDescent="0.3">
      <c r="B91" s="318"/>
      <c r="C91" s="309"/>
      <c r="D91" s="309"/>
      <c r="E91" s="309"/>
      <c r="F91" s="95" t="s">
        <v>322</v>
      </c>
    </row>
    <row r="92" spans="1:13" ht="28.8" customHeight="1" x14ac:dyDescent="0.3">
      <c r="A92" s="321" t="s">
        <v>195</v>
      </c>
      <c r="B92" s="322">
        <f>SUM(B84:B90)</f>
        <v>7000</v>
      </c>
      <c r="C92" s="309"/>
      <c r="D92" s="323">
        <f>SUM(D84:D90)</f>
        <v>3700</v>
      </c>
      <c r="E92" s="310"/>
      <c r="F92" s="394" t="s">
        <v>360</v>
      </c>
      <c r="G92" s="386"/>
      <c r="H92" s="386"/>
      <c r="I92" s="386"/>
      <c r="J92" s="386"/>
      <c r="K92" s="386"/>
      <c r="L92" s="386"/>
      <c r="M92" s="386"/>
    </row>
    <row r="96" spans="1:13" ht="15.6" x14ac:dyDescent="0.3">
      <c r="A96" s="71" t="s">
        <v>391</v>
      </c>
      <c r="B96" s="7" t="s">
        <v>340</v>
      </c>
      <c r="C96" s="7" t="s">
        <v>334</v>
      </c>
      <c r="D96" s="7" t="s">
        <v>336</v>
      </c>
      <c r="E96" s="5"/>
      <c r="F96" s="387" t="s">
        <v>338</v>
      </c>
      <c r="G96" s="388"/>
      <c r="H96" s="388"/>
      <c r="I96" s="388"/>
      <c r="J96" s="388"/>
      <c r="K96" s="388"/>
      <c r="L96" s="388"/>
    </row>
    <row r="97" spans="1:12" x14ac:dyDescent="0.3">
      <c r="A97" t="s">
        <v>335</v>
      </c>
      <c r="B97" s="326">
        <v>260</v>
      </c>
      <c r="C97" s="326">
        <f>(B97*0.33*365*24)/1000</f>
        <v>751.60799999999995</v>
      </c>
      <c r="D97" s="10">
        <f>'Calculs énergie'!D15*'PIB UE'!L36</f>
        <v>19797.361056097143</v>
      </c>
      <c r="F97" s="389" t="s">
        <v>337</v>
      </c>
      <c r="G97" s="390"/>
      <c r="H97" s="390"/>
      <c r="I97" s="390"/>
      <c r="J97" s="390"/>
      <c r="K97" s="390"/>
      <c r="L97" s="390"/>
    </row>
    <row r="98" spans="1:12" x14ac:dyDescent="0.3">
      <c r="A98" t="s">
        <v>339</v>
      </c>
      <c r="B98" s="326">
        <f>726</f>
        <v>726</v>
      </c>
      <c r="C98" s="326">
        <v>1644</v>
      </c>
      <c r="D98" s="326"/>
      <c r="F98" s="95" t="s">
        <v>341</v>
      </c>
      <c r="G98" s="2"/>
      <c r="H98" s="2"/>
      <c r="I98" s="2"/>
      <c r="J98" s="2"/>
      <c r="K98" s="2"/>
      <c r="L98" s="2"/>
    </row>
    <row r="99" spans="1:12" x14ac:dyDescent="0.3">
      <c r="A99" s="6"/>
      <c r="B99" s="334"/>
      <c r="C99" s="334"/>
      <c r="D99" s="334"/>
      <c r="E99" s="6"/>
      <c r="F99" s="44"/>
      <c r="G99" s="6"/>
      <c r="H99" s="6"/>
      <c r="I99" s="6"/>
      <c r="J99" s="6"/>
      <c r="K99" s="6"/>
      <c r="L99" s="6"/>
    </row>
    <row r="100" spans="1:12" x14ac:dyDescent="0.3">
      <c r="A100" s="1" t="s">
        <v>342</v>
      </c>
      <c r="B100" s="10"/>
      <c r="C100" s="10">
        <f>SUM(C97:C99)</f>
        <v>2395.6080000000002</v>
      </c>
      <c r="D100" s="327"/>
      <c r="F100" s="57" t="s">
        <v>353</v>
      </c>
      <c r="G100" s="2"/>
      <c r="H100" s="2"/>
      <c r="I100" s="2"/>
      <c r="J100" s="2"/>
      <c r="K100" s="2"/>
      <c r="L100" s="2"/>
    </row>
    <row r="102" spans="1:12" s="1" customFormat="1" ht="15.6" x14ac:dyDescent="0.3">
      <c r="A102" s="71" t="s">
        <v>368</v>
      </c>
      <c r="B102" s="7" t="s">
        <v>345</v>
      </c>
      <c r="C102" s="7" t="s">
        <v>343</v>
      </c>
      <c r="D102" s="5" t="s">
        <v>344</v>
      </c>
      <c r="E102" s="7" t="s">
        <v>346</v>
      </c>
      <c r="F102" s="16"/>
      <c r="G102" s="5"/>
      <c r="H102" s="5"/>
      <c r="I102" s="5"/>
      <c r="J102" s="5"/>
      <c r="K102" s="5"/>
      <c r="L102" s="5"/>
    </row>
    <row r="103" spans="1:12" x14ac:dyDescent="0.3">
      <c r="A103" t="s">
        <v>347</v>
      </c>
      <c r="B103" s="328">
        <v>6</v>
      </c>
      <c r="C103" s="329">
        <v>4.8</v>
      </c>
      <c r="D103" s="329">
        <f>B103*C103/24/0.7</f>
        <v>1.7142857142857144</v>
      </c>
      <c r="E103" s="310">
        <v>1.8</v>
      </c>
      <c r="F103" s="95" t="s">
        <v>356</v>
      </c>
      <c r="L103" t="s">
        <v>357</v>
      </c>
    </row>
    <row r="104" spans="1:12" x14ac:dyDescent="0.3">
      <c r="A104" s="332" t="s">
        <v>350</v>
      </c>
      <c r="B104" s="333"/>
      <c r="C104" s="335">
        <v>4</v>
      </c>
      <c r="D104" s="333"/>
      <c r="E104" s="6"/>
      <c r="F104" s="337" t="s">
        <v>348</v>
      </c>
      <c r="G104" s="6"/>
      <c r="H104" s="6"/>
      <c r="I104" s="6"/>
      <c r="J104" s="6"/>
      <c r="K104" s="6"/>
      <c r="L104" s="6" t="s">
        <v>349</v>
      </c>
    </row>
    <row r="105" spans="1:12" x14ac:dyDescent="0.3">
      <c r="A105" s="55" t="s">
        <v>351</v>
      </c>
      <c r="B105" s="330"/>
      <c r="C105" s="331">
        <f>D103/(C103/C104)</f>
        <v>1.4285714285714288</v>
      </c>
      <c r="D105" s="328"/>
      <c r="F105" s="57" t="s">
        <v>352</v>
      </c>
    </row>
    <row r="108" spans="1:12" ht="28.8" x14ac:dyDescent="0.3">
      <c r="A108" s="354" t="s">
        <v>380</v>
      </c>
      <c r="B108" s="20" t="s">
        <v>370</v>
      </c>
      <c r="C108" s="20" t="s">
        <v>378</v>
      </c>
      <c r="D108" s="20" t="s">
        <v>373</v>
      </c>
      <c r="E108" s="20" t="s">
        <v>413</v>
      </c>
      <c r="F108" s="336"/>
      <c r="G108" s="6"/>
      <c r="H108" s="6"/>
      <c r="I108" s="6"/>
      <c r="J108" s="6"/>
      <c r="K108" s="6"/>
      <c r="L108" s="6"/>
    </row>
    <row r="109" spans="1:12" x14ac:dyDescent="0.3">
      <c r="A109" t="s">
        <v>416</v>
      </c>
      <c r="B109" s="13">
        <v>4.0000000000000001E-3</v>
      </c>
      <c r="D109" s="13"/>
      <c r="F109" s="358" t="s">
        <v>369</v>
      </c>
    </row>
    <row r="110" spans="1:12" x14ac:dyDescent="0.3">
      <c r="A110" t="s">
        <v>371</v>
      </c>
      <c r="C110" s="13">
        <v>8.5</v>
      </c>
      <c r="D110" s="13"/>
      <c r="F110" s="95" t="s">
        <v>372</v>
      </c>
    </row>
    <row r="111" spans="1:12" x14ac:dyDescent="0.3">
      <c r="A111" s="2" t="s">
        <v>376</v>
      </c>
      <c r="B111" s="34"/>
      <c r="C111" s="34">
        <v>10</v>
      </c>
      <c r="D111" s="34"/>
      <c r="E111" s="34"/>
      <c r="F111" s="17"/>
      <c r="G111" s="2"/>
      <c r="H111" s="2"/>
      <c r="I111" s="2"/>
      <c r="J111" s="2"/>
      <c r="K111" s="2"/>
      <c r="L111" s="2"/>
    </row>
    <row r="112" spans="1:12" x14ac:dyDescent="0.3">
      <c r="A112" s="357" t="s">
        <v>415</v>
      </c>
      <c r="B112" s="8"/>
      <c r="C112" s="8">
        <v>13.5</v>
      </c>
      <c r="D112" s="6"/>
      <c r="E112" s="6"/>
      <c r="F112" s="44" t="s">
        <v>414</v>
      </c>
      <c r="G112" s="6"/>
      <c r="H112" s="6"/>
      <c r="I112" s="6"/>
      <c r="J112" s="6"/>
      <c r="K112" s="6"/>
      <c r="L112" s="6"/>
    </row>
    <row r="113" spans="1:8" x14ac:dyDescent="0.3">
      <c r="A113" s="1" t="s">
        <v>377</v>
      </c>
      <c r="B113" s="4"/>
      <c r="C113" s="4">
        <f>B109*C112</f>
        <v>5.3999999999999999E-2</v>
      </c>
      <c r="D113" s="4">
        <f>B109*C112*365</f>
        <v>19.71</v>
      </c>
      <c r="E113" s="4"/>
      <c r="F113" s="17"/>
    </row>
    <row r="114" spans="1:8" s="11" customFormat="1" x14ac:dyDescent="0.3">
      <c r="A114" s="11" t="s">
        <v>418</v>
      </c>
      <c r="B114" s="9"/>
      <c r="C114" s="9"/>
      <c r="D114" s="12">
        <f>1.2*0.8*24*365/1000</f>
        <v>8.4096000000000011</v>
      </c>
      <c r="E114" s="359"/>
      <c r="F114" s="18"/>
    </row>
    <row r="115" spans="1:8" ht="15" thickBot="1" x14ac:dyDescent="0.35">
      <c r="A115" s="1" t="s">
        <v>379</v>
      </c>
      <c r="D115" s="10"/>
      <c r="E115" s="360">
        <f>D113/D114</f>
        <v>2.34375</v>
      </c>
      <c r="F115" s="17"/>
    </row>
    <row r="116" spans="1:8" ht="15" thickTop="1" x14ac:dyDescent="0.3"/>
    <row r="118" spans="1:8" ht="30.6" customHeight="1" x14ac:dyDescent="0.3">
      <c r="A118" s="71" t="s">
        <v>401</v>
      </c>
      <c r="B118" s="20" t="s">
        <v>398</v>
      </c>
      <c r="C118" s="20" t="s">
        <v>402</v>
      </c>
      <c r="D118" s="20" t="s">
        <v>396</v>
      </c>
      <c r="E118" s="20" t="s">
        <v>403</v>
      </c>
      <c r="F118" s="16" t="s">
        <v>406</v>
      </c>
      <c r="G118" s="6"/>
      <c r="H118" s="6"/>
    </row>
    <row r="119" spans="1:8" x14ac:dyDescent="0.3">
      <c r="A119" t="s">
        <v>394</v>
      </c>
      <c r="B119" s="13">
        <f>'PIB UE'!K37</f>
        <v>84000</v>
      </c>
      <c r="C119" s="13">
        <v>170000</v>
      </c>
      <c r="D119" s="13">
        <v>260000</v>
      </c>
      <c r="E119" s="13"/>
      <c r="F119" s="17"/>
    </row>
    <row r="120" spans="1:8" x14ac:dyDescent="0.3">
      <c r="A120" t="s">
        <v>395</v>
      </c>
      <c r="B120" s="13">
        <v>715</v>
      </c>
      <c r="C120" s="13">
        <f>226*1.5</f>
        <v>339</v>
      </c>
      <c r="E120" s="13"/>
      <c r="F120" s="17" t="s">
        <v>405</v>
      </c>
    </row>
    <row r="121" spans="1:8" x14ac:dyDescent="0.3">
      <c r="A121" t="s">
        <v>407</v>
      </c>
      <c r="B121" s="13">
        <v>1400</v>
      </c>
      <c r="E121" s="13"/>
      <c r="F121" s="17" t="s">
        <v>397</v>
      </c>
    </row>
    <row r="122" spans="1:8" ht="15" thickBot="1" x14ac:dyDescent="0.35">
      <c r="A122" t="s">
        <v>399</v>
      </c>
      <c r="B122" s="355">
        <f>B121*1.5</f>
        <v>2100</v>
      </c>
      <c r="E122" s="356">
        <f>D119/B119*B120</f>
        <v>2213.0952380952381</v>
      </c>
      <c r="F122" s="17" t="s">
        <v>400</v>
      </c>
    </row>
    <row r="123" spans="1:8" ht="15" thickTop="1" x14ac:dyDescent="0.3">
      <c r="E123" s="13"/>
      <c r="F123" s="17"/>
      <c r="G123" t="s">
        <v>404</v>
      </c>
    </row>
    <row r="124" spans="1:8" x14ac:dyDescent="0.3">
      <c r="F124" s="17"/>
      <c r="G124" t="s">
        <v>417</v>
      </c>
    </row>
    <row r="135" spans="1:1" ht="15.6" x14ac:dyDescent="0.3">
      <c r="A135" s="3" t="s">
        <v>374</v>
      </c>
    </row>
    <row r="136" spans="1:1" x14ac:dyDescent="0.3">
      <c r="A136" t="s">
        <v>381</v>
      </c>
    </row>
    <row r="137" spans="1:1" x14ac:dyDescent="0.3">
      <c r="A137" s="11" t="s">
        <v>375</v>
      </c>
    </row>
    <row r="138" spans="1:1" x14ac:dyDescent="0.3">
      <c r="A138" s="11" t="s">
        <v>382</v>
      </c>
    </row>
    <row r="140" spans="1:1" x14ac:dyDescent="0.3">
      <c r="A140" t="s">
        <v>409</v>
      </c>
    </row>
  </sheetData>
  <customSheetViews>
    <customSheetView guid="{4E8A5815-7803-4D13-9EE1-C2199B052AAC}" topLeftCell="A19">
      <selection activeCell="F35" sqref="F35"/>
      <pageMargins left="0.7" right="0.7" top="0.75" bottom="0.75" header="0.3" footer="0.3"/>
      <pageSetup paperSize="9" orientation="landscape" r:id="rId1"/>
    </customSheetView>
  </customSheetViews>
  <mergeCells count="9">
    <mergeCell ref="F96:L96"/>
    <mergeCell ref="F97:L97"/>
    <mergeCell ref="F51:L51"/>
    <mergeCell ref="A59:I60"/>
    <mergeCell ref="F90:L90"/>
    <mergeCell ref="F92:M92"/>
    <mergeCell ref="F88:M88"/>
    <mergeCell ref="F89:M89"/>
    <mergeCell ref="F83:L83"/>
  </mergeCells>
  <hyperlinks>
    <hyperlink ref="F51" r:id="rId2"/>
    <hyperlink ref="E26" r:id="rId3"/>
    <hyperlink ref="E27" r:id="rId4"/>
    <hyperlink ref="F79" r:id="rId5"/>
    <hyperlink ref="F77" r:id="rId6"/>
    <hyperlink ref="F91" r:id="rId7"/>
    <hyperlink ref="F98" r:id="rId8"/>
    <hyperlink ref="F104" r:id="rId9"/>
    <hyperlink ref="F109" r:id="rId10"/>
    <hyperlink ref="F110" r:id="rId11"/>
  </hyperlinks>
  <pageMargins left="0.7" right="0.7" top="0.75" bottom="0.75" header="0.3" footer="0.3"/>
  <pageSetup paperSize="9" orientation="landscape"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workbookViewId="0">
      <selection activeCell="O10" sqref="O10"/>
    </sheetView>
  </sheetViews>
  <sheetFormatPr baseColWidth="10" defaultRowHeight="14.4" x14ac:dyDescent="0.3"/>
  <cols>
    <col min="1" max="1" width="20.44140625" style="105" customWidth="1"/>
    <col min="2" max="12" width="11.5546875" style="106"/>
    <col min="13" max="13" width="14.88671875" customWidth="1"/>
    <col min="15" max="15" width="13.5546875" customWidth="1"/>
    <col min="17" max="17" width="47" customWidth="1"/>
    <col min="19" max="19" width="16.33203125" customWidth="1"/>
    <col min="20" max="20" width="12.21875" bestFit="1" customWidth="1"/>
    <col min="257" max="257" width="20.44140625" customWidth="1"/>
    <col min="513" max="513" width="20.44140625" customWidth="1"/>
    <col min="769" max="769" width="20.44140625" customWidth="1"/>
    <col min="1025" max="1025" width="20.44140625" customWidth="1"/>
    <col min="1281" max="1281" width="20.44140625" customWidth="1"/>
    <col min="1537" max="1537" width="20.44140625" customWidth="1"/>
    <col min="1793" max="1793" width="20.44140625" customWidth="1"/>
    <col min="2049" max="2049" width="20.44140625" customWidth="1"/>
    <col min="2305" max="2305" width="20.44140625" customWidth="1"/>
    <col min="2561" max="2561" width="20.44140625" customWidth="1"/>
    <col min="2817" max="2817" width="20.44140625" customWidth="1"/>
    <col min="3073" max="3073" width="20.44140625" customWidth="1"/>
    <col min="3329" max="3329" width="20.44140625" customWidth="1"/>
    <col min="3585" max="3585" width="20.44140625" customWidth="1"/>
    <col min="3841" max="3841" width="20.44140625" customWidth="1"/>
    <col min="4097" max="4097" width="20.44140625" customWidth="1"/>
    <col min="4353" max="4353" width="20.44140625" customWidth="1"/>
    <col min="4609" max="4609" width="20.44140625" customWidth="1"/>
    <col min="4865" max="4865" width="20.44140625" customWidth="1"/>
    <col min="5121" max="5121" width="20.44140625" customWidth="1"/>
    <col min="5377" max="5377" width="20.44140625" customWidth="1"/>
    <col min="5633" max="5633" width="20.44140625" customWidth="1"/>
    <col min="5889" max="5889" width="20.44140625" customWidth="1"/>
    <col min="6145" max="6145" width="20.44140625" customWidth="1"/>
    <col min="6401" max="6401" width="20.44140625" customWidth="1"/>
    <col min="6657" max="6657" width="20.44140625" customWidth="1"/>
    <col min="6913" max="6913" width="20.44140625" customWidth="1"/>
    <col min="7169" max="7169" width="20.44140625" customWidth="1"/>
    <col min="7425" max="7425" width="20.44140625" customWidth="1"/>
    <col min="7681" max="7681" width="20.44140625" customWidth="1"/>
    <col min="7937" max="7937" width="20.44140625" customWidth="1"/>
    <col min="8193" max="8193" width="20.44140625" customWidth="1"/>
    <col min="8449" max="8449" width="20.44140625" customWidth="1"/>
    <col min="8705" max="8705" width="20.44140625" customWidth="1"/>
    <col min="8961" max="8961" width="20.44140625" customWidth="1"/>
    <col min="9217" max="9217" width="20.44140625" customWidth="1"/>
    <col min="9473" max="9473" width="20.44140625" customWidth="1"/>
    <col min="9729" max="9729" width="20.44140625" customWidth="1"/>
    <col min="9985" max="9985" width="20.44140625" customWidth="1"/>
    <col min="10241" max="10241" width="20.44140625" customWidth="1"/>
    <col min="10497" max="10497" width="20.44140625" customWidth="1"/>
    <col min="10753" max="10753" width="20.44140625" customWidth="1"/>
    <col min="11009" max="11009" width="20.44140625" customWidth="1"/>
    <col min="11265" max="11265" width="20.44140625" customWidth="1"/>
    <col min="11521" max="11521" width="20.44140625" customWidth="1"/>
    <col min="11777" max="11777" width="20.44140625" customWidth="1"/>
    <col min="12033" max="12033" width="20.44140625" customWidth="1"/>
    <col min="12289" max="12289" width="20.44140625" customWidth="1"/>
    <col min="12545" max="12545" width="20.44140625" customWidth="1"/>
    <col min="12801" max="12801" width="20.44140625" customWidth="1"/>
    <col min="13057" max="13057" width="20.44140625" customWidth="1"/>
    <col min="13313" max="13313" width="20.44140625" customWidth="1"/>
    <col min="13569" max="13569" width="20.44140625" customWidth="1"/>
    <col min="13825" max="13825" width="20.44140625" customWidth="1"/>
    <col min="14081" max="14081" width="20.44140625" customWidth="1"/>
    <col min="14337" max="14337" width="20.44140625" customWidth="1"/>
    <col min="14593" max="14593" width="20.44140625" customWidth="1"/>
    <col min="14849" max="14849" width="20.44140625" customWidth="1"/>
    <col min="15105" max="15105" width="20.44140625" customWidth="1"/>
    <col min="15361" max="15361" width="20.44140625" customWidth="1"/>
    <col min="15617" max="15617" width="20.44140625" customWidth="1"/>
    <col min="15873" max="15873" width="20.44140625" customWidth="1"/>
    <col min="16129" max="16129" width="20.44140625" customWidth="1"/>
  </cols>
  <sheetData>
    <row r="1" spans="1:20" s="100" customFormat="1" x14ac:dyDescent="0.3">
      <c r="A1" s="98" t="s">
        <v>240</v>
      </c>
      <c r="B1" s="99"/>
      <c r="C1" s="99"/>
      <c r="D1" s="99"/>
      <c r="E1" s="99"/>
      <c r="F1" s="99"/>
      <c r="G1" s="99"/>
      <c r="H1" s="99"/>
      <c r="I1" s="99"/>
      <c r="J1" s="99"/>
      <c r="K1" s="99"/>
      <c r="L1" s="99"/>
      <c r="M1" s="111" t="s">
        <v>294</v>
      </c>
      <c r="R1" s="340" t="s">
        <v>385</v>
      </c>
      <c r="S1" s="340" t="s">
        <v>388</v>
      </c>
    </row>
    <row r="2" spans="1:20" ht="28.2" customHeight="1" x14ac:dyDescent="0.3">
      <c r="A2" s="101" t="s">
        <v>241</v>
      </c>
      <c r="B2" s="102" t="s">
        <v>242</v>
      </c>
      <c r="C2" s="102" t="s">
        <v>243</v>
      </c>
      <c r="D2" s="102" t="s">
        <v>244</v>
      </c>
      <c r="E2" s="102" t="s">
        <v>245</v>
      </c>
      <c r="F2" s="102" t="s">
        <v>246</v>
      </c>
      <c r="G2" s="102" t="s">
        <v>247</v>
      </c>
      <c r="H2" s="102" t="s">
        <v>248</v>
      </c>
      <c r="I2" s="102" t="s">
        <v>249</v>
      </c>
      <c r="J2" s="102" t="s">
        <v>250</v>
      </c>
      <c r="K2" s="102" t="s">
        <v>251</v>
      </c>
      <c r="L2" s="348" t="s">
        <v>252</v>
      </c>
      <c r="M2" s="349" t="s">
        <v>289</v>
      </c>
      <c r="N2" s="350" t="s">
        <v>290</v>
      </c>
      <c r="O2" s="350" t="s">
        <v>383</v>
      </c>
      <c r="Q2" s="352" t="s">
        <v>386</v>
      </c>
      <c r="R2" s="353">
        <f>(180*0.25+56*0.33+550*0.16)*365*24/1000+(50+20)</f>
        <v>1396.9648</v>
      </c>
      <c r="S2" s="352" t="s">
        <v>387</v>
      </c>
    </row>
    <row r="3" spans="1:20" x14ac:dyDescent="0.3">
      <c r="A3" s="13" t="s">
        <v>253</v>
      </c>
      <c r="B3" s="103">
        <v>3423.4659999999999</v>
      </c>
      <c r="C3" s="103">
        <v>3761.1419999999998</v>
      </c>
      <c r="D3" s="103">
        <v>3545.9459999999999</v>
      </c>
      <c r="E3" s="103">
        <v>3753.6869999999999</v>
      </c>
      <c r="F3" s="103">
        <v>3904.9209999999998</v>
      </c>
      <c r="G3" s="103">
        <v>3383.0909999999999</v>
      </c>
      <c r="H3" s="103">
        <v>3496.6060000000002</v>
      </c>
      <c r="I3" s="103">
        <v>3664.511</v>
      </c>
      <c r="J3" s="103">
        <v>3951.34</v>
      </c>
      <c r="K3" s="103">
        <v>3863.3440000000001</v>
      </c>
      <c r="L3" s="342">
        <f>K3/K37</f>
        <v>4.5992190476190478E-2</v>
      </c>
      <c r="M3" s="13"/>
      <c r="N3" s="338">
        <v>0.8</v>
      </c>
      <c r="O3" s="326">
        <f>100000*L3</f>
        <v>4599.2190476190481</v>
      </c>
      <c r="Q3" t="s">
        <v>384</v>
      </c>
    </row>
    <row r="4" spans="1:20" x14ac:dyDescent="0.3">
      <c r="A4" s="13" t="s">
        <v>254</v>
      </c>
      <c r="B4" s="103">
        <v>2455.3090000000002</v>
      </c>
      <c r="C4" s="103">
        <v>2635.799</v>
      </c>
      <c r="D4" s="103">
        <v>2677.0819999999999</v>
      </c>
      <c r="E4" s="103">
        <v>2755.3560000000002</v>
      </c>
      <c r="F4" s="103">
        <v>3036.31</v>
      </c>
      <c r="G4" s="103">
        <v>2897.06</v>
      </c>
      <c r="H4" s="103">
        <v>2669.107</v>
      </c>
      <c r="I4" s="103">
        <v>2640.067</v>
      </c>
      <c r="J4" s="103">
        <v>2828.8330000000001</v>
      </c>
      <c r="K4" s="103">
        <v>2743.5859999999998</v>
      </c>
      <c r="L4" s="343"/>
      <c r="M4" s="13"/>
      <c r="N4" s="338"/>
      <c r="O4" s="326"/>
      <c r="Q4" s="1" t="s">
        <v>410</v>
      </c>
      <c r="R4" s="4">
        <v>1800</v>
      </c>
      <c r="S4" t="s">
        <v>411</v>
      </c>
      <c r="T4" s="1" t="s">
        <v>412</v>
      </c>
    </row>
    <row r="5" spans="1:20" x14ac:dyDescent="0.3">
      <c r="A5" s="13" t="s">
        <v>255</v>
      </c>
      <c r="B5" s="103">
        <v>2647.5369999999998</v>
      </c>
      <c r="C5" s="103">
        <v>2864.03</v>
      </c>
      <c r="D5" s="103">
        <v>2685.3110000000001</v>
      </c>
      <c r="E5" s="103">
        <v>2811.9569999999999</v>
      </c>
      <c r="F5" s="103">
        <v>2856.6970000000001</v>
      </c>
      <c r="G5" s="103">
        <v>2439.4349999999999</v>
      </c>
      <c r="H5" s="103">
        <v>2466.152</v>
      </c>
      <c r="I5" s="103">
        <v>2591.7750000000001</v>
      </c>
      <c r="J5" s="103">
        <v>2780.152</v>
      </c>
      <c r="K5" s="103">
        <v>2707.0740000000001</v>
      </c>
      <c r="L5" s="343"/>
      <c r="M5" s="13"/>
      <c r="N5" s="339">
        <v>0.52</v>
      </c>
      <c r="O5" s="326"/>
    </row>
    <row r="6" spans="1:20" x14ac:dyDescent="0.3">
      <c r="A6" s="13" t="s">
        <v>256</v>
      </c>
      <c r="B6" s="103">
        <v>2129.0210000000002</v>
      </c>
      <c r="C6" s="103">
        <v>2278.3760000000002</v>
      </c>
      <c r="D6" s="103">
        <v>2073.971</v>
      </c>
      <c r="E6" s="103">
        <v>2131.1590000000001</v>
      </c>
      <c r="F6" s="103">
        <v>2155.1509999999998</v>
      </c>
      <c r="G6" s="103">
        <v>1833.1949999999999</v>
      </c>
      <c r="H6" s="103">
        <v>1869.973</v>
      </c>
      <c r="I6" s="103">
        <v>1950.703</v>
      </c>
      <c r="J6" s="103">
        <v>2075.8560000000002</v>
      </c>
      <c r="K6" s="103">
        <v>2001.44</v>
      </c>
      <c r="L6" s="343"/>
      <c r="M6" s="13"/>
      <c r="N6" s="338"/>
      <c r="O6" s="326"/>
    </row>
    <row r="7" spans="1:20" x14ac:dyDescent="0.3">
      <c r="A7" s="13" t="s">
        <v>257</v>
      </c>
      <c r="B7" s="103">
        <v>1434.2860000000001</v>
      </c>
      <c r="C7" s="103">
        <v>1489.431</v>
      </c>
      <c r="D7" s="103">
        <v>1336.759</v>
      </c>
      <c r="E7" s="103">
        <v>1362.28</v>
      </c>
      <c r="F7" s="103">
        <v>1379.098</v>
      </c>
      <c r="G7" s="103">
        <v>1199.6880000000001</v>
      </c>
      <c r="H7" s="103">
        <v>1238.01</v>
      </c>
      <c r="I7" s="103">
        <v>1317.104</v>
      </c>
      <c r="J7" s="103">
        <v>1427.5329999999999</v>
      </c>
      <c r="K7" s="103">
        <v>1397.87</v>
      </c>
      <c r="L7" s="343"/>
      <c r="M7" s="13"/>
      <c r="N7" s="338"/>
      <c r="O7" s="326"/>
    </row>
    <row r="8" spans="1:20" x14ac:dyDescent="0.3">
      <c r="A8" s="13" t="s">
        <v>258</v>
      </c>
      <c r="B8" s="103">
        <v>848.13300000000004</v>
      </c>
      <c r="C8" s="103">
        <v>904.91499999999996</v>
      </c>
      <c r="D8" s="103">
        <v>839.43600000000004</v>
      </c>
      <c r="E8" s="103">
        <v>877.19799999999998</v>
      </c>
      <c r="F8" s="103">
        <v>892.39700000000005</v>
      </c>
      <c r="G8" s="103">
        <v>765.65</v>
      </c>
      <c r="H8" s="103">
        <v>783.85199999999998</v>
      </c>
      <c r="I8" s="103">
        <v>833.57500000000005</v>
      </c>
      <c r="J8" s="103">
        <v>914.51900000000001</v>
      </c>
      <c r="K8" s="103">
        <v>902.35500000000002</v>
      </c>
      <c r="L8" s="343"/>
      <c r="M8" s="13"/>
      <c r="N8" s="338"/>
      <c r="O8" s="326"/>
    </row>
    <row r="9" spans="1:20" x14ac:dyDescent="0.3">
      <c r="A9" s="13" t="s">
        <v>259</v>
      </c>
      <c r="B9" s="103">
        <v>583.053</v>
      </c>
      <c r="C9" s="103">
        <v>699.67</v>
      </c>
      <c r="D9" s="103">
        <v>667.89</v>
      </c>
      <c r="E9" s="103">
        <v>688.74699999999996</v>
      </c>
      <c r="F9" s="103">
        <v>709.49599999999998</v>
      </c>
      <c r="G9" s="103">
        <v>679.721</v>
      </c>
      <c r="H9" s="103">
        <v>670.24699999999996</v>
      </c>
      <c r="I9" s="103">
        <v>680.029</v>
      </c>
      <c r="J9" s="103">
        <v>705.54600000000005</v>
      </c>
      <c r="K9" s="103">
        <v>715.36</v>
      </c>
      <c r="L9" s="342">
        <f>K9/K37</f>
        <v>8.5161904761904758E-3</v>
      </c>
      <c r="M9" s="13"/>
      <c r="N9" s="338"/>
      <c r="O9" s="326">
        <f>100000*L9</f>
        <v>851.61904761904759</v>
      </c>
    </row>
    <row r="10" spans="1:20" x14ac:dyDescent="0.3">
      <c r="A10" s="13" t="s">
        <v>260</v>
      </c>
      <c r="B10" s="103">
        <v>479.161</v>
      </c>
      <c r="C10" s="103">
        <v>528.57100000000003</v>
      </c>
      <c r="D10" s="103">
        <v>500.846</v>
      </c>
      <c r="E10" s="103">
        <v>524.399</v>
      </c>
      <c r="F10" s="103">
        <v>545.28399999999999</v>
      </c>
      <c r="G10" s="103">
        <v>477.56799999999998</v>
      </c>
      <c r="H10" s="103">
        <v>471.84300000000002</v>
      </c>
      <c r="I10" s="103">
        <v>526.74900000000002</v>
      </c>
      <c r="J10" s="103">
        <v>585.81600000000003</v>
      </c>
      <c r="K10" s="103">
        <v>565.85400000000004</v>
      </c>
      <c r="L10" s="343"/>
      <c r="M10" s="13"/>
      <c r="N10" s="338"/>
      <c r="O10" s="326"/>
    </row>
    <row r="11" spans="1:20" x14ac:dyDescent="0.3">
      <c r="A11" s="13" t="s">
        <v>261</v>
      </c>
      <c r="B11" s="103">
        <v>488.90899999999999</v>
      </c>
      <c r="C11" s="103">
        <v>563.79700000000003</v>
      </c>
      <c r="D11" s="103">
        <v>544.48199999999997</v>
      </c>
      <c r="E11" s="103">
        <v>579.36099999999999</v>
      </c>
      <c r="F11" s="103">
        <v>574.41300000000001</v>
      </c>
      <c r="G11" s="103">
        <v>498.11799999999999</v>
      </c>
      <c r="H11" s="103">
        <v>512.20500000000004</v>
      </c>
      <c r="I11" s="103">
        <v>540.54499999999996</v>
      </c>
      <c r="J11" s="103">
        <v>556.07299999999998</v>
      </c>
      <c r="K11" s="103">
        <v>528.92899999999997</v>
      </c>
      <c r="L11" s="343"/>
      <c r="M11" s="13"/>
      <c r="N11" s="338"/>
      <c r="O11" s="326"/>
    </row>
    <row r="12" spans="1:20" x14ac:dyDescent="0.3">
      <c r="A12" s="13" t="s">
        <v>262</v>
      </c>
      <c r="B12" s="103">
        <v>484.45</v>
      </c>
      <c r="C12" s="103">
        <v>527.49199999999996</v>
      </c>
      <c r="D12" s="103">
        <v>498.161</v>
      </c>
      <c r="E12" s="103">
        <v>521.09</v>
      </c>
      <c r="F12" s="103">
        <v>531.65099999999995</v>
      </c>
      <c r="G12" s="103">
        <v>456.06700000000001</v>
      </c>
      <c r="H12" s="103">
        <v>469.93099999999998</v>
      </c>
      <c r="I12" s="103">
        <v>495.95299999999997</v>
      </c>
      <c r="J12" s="103">
        <v>532.26800000000003</v>
      </c>
      <c r="K12" s="103">
        <v>517.60900000000004</v>
      </c>
      <c r="L12" s="343"/>
      <c r="M12" s="13"/>
      <c r="N12" s="338"/>
      <c r="O12" s="326"/>
    </row>
    <row r="13" spans="1:20" x14ac:dyDescent="0.3">
      <c r="A13" s="13" t="s">
        <v>263</v>
      </c>
      <c r="B13" s="103">
        <v>392.62299999999999</v>
      </c>
      <c r="C13" s="103">
        <v>431.51499999999999</v>
      </c>
      <c r="D13" s="103">
        <v>409.65199999999999</v>
      </c>
      <c r="E13" s="103">
        <v>430.20299999999997</v>
      </c>
      <c r="F13" s="103">
        <v>442.69799999999998</v>
      </c>
      <c r="G13" s="103">
        <v>381.99799999999999</v>
      </c>
      <c r="H13" s="103">
        <v>394.21499999999997</v>
      </c>
      <c r="I13" s="103">
        <v>417.721</v>
      </c>
      <c r="J13" s="103">
        <v>456.166</v>
      </c>
      <c r="K13" s="103">
        <v>447.71800000000002</v>
      </c>
      <c r="L13" s="343"/>
      <c r="M13" s="13"/>
      <c r="N13" s="338"/>
      <c r="O13" s="326"/>
    </row>
    <row r="14" spans="1:20" x14ac:dyDescent="0.3">
      <c r="A14" s="13" t="s">
        <v>264</v>
      </c>
      <c r="B14" s="103">
        <v>429.13099999999997</v>
      </c>
      <c r="C14" s="103">
        <v>498.83199999999999</v>
      </c>
      <c r="D14" s="103">
        <v>510.22899999999998</v>
      </c>
      <c r="E14" s="103">
        <v>523.50199999999995</v>
      </c>
      <c r="F14" s="103">
        <v>499.33800000000002</v>
      </c>
      <c r="G14" s="103">
        <v>386.66300000000001</v>
      </c>
      <c r="H14" s="103">
        <v>371.34500000000003</v>
      </c>
      <c r="I14" s="103">
        <v>398.39400000000001</v>
      </c>
      <c r="J14" s="103">
        <v>434.16699999999997</v>
      </c>
      <c r="K14" s="103">
        <v>417.62700000000001</v>
      </c>
      <c r="L14" s="343"/>
      <c r="M14" s="13"/>
      <c r="N14" s="338"/>
      <c r="O14" s="326"/>
    </row>
    <row r="15" spans="1:20" x14ac:dyDescent="0.3">
      <c r="A15" s="13" t="s">
        <v>265</v>
      </c>
      <c r="B15" s="103">
        <v>222.53299999999999</v>
      </c>
      <c r="C15" s="103">
        <v>238.08799999999999</v>
      </c>
      <c r="D15" s="103">
        <v>225.14</v>
      </c>
      <c r="E15" s="103">
        <v>238.708</v>
      </c>
      <c r="F15" s="103">
        <v>259.2</v>
      </c>
      <c r="G15" s="103">
        <v>290.858</v>
      </c>
      <c r="H15" s="103">
        <v>301.96800000000002</v>
      </c>
      <c r="I15" s="103">
        <v>335.21100000000001</v>
      </c>
      <c r="J15" s="103">
        <v>382.75400000000002</v>
      </c>
      <c r="K15" s="103">
        <v>384.94</v>
      </c>
      <c r="L15" s="343"/>
      <c r="M15" s="13"/>
      <c r="N15" s="338"/>
      <c r="O15" s="326"/>
    </row>
    <row r="16" spans="1:20" x14ac:dyDescent="0.3">
      <c r="A16" s="13" t="s">
        <v>266</v>
      </c>
      <c r="B16" s="103">
        <v>321.995</v>
      </c>
      <c r="C16" s="103">
        <v>344.00299999999999</v>
      </c>
      <c r="D16" s="103">
        <v>327.149</v>
      </c>
      <c r="E16" s="103">
        <v>343.584</v>
      </c>
      <c r="F16" s="103">
        <v>352.99400000000003</v>
      </c>
      <c r="G16" s="103">
        <v>302.673</v>
      </c>
      <c r="H16" s="103">
        <v>311.988</v>
      </c>
      <c r="I16" s="103">
        <v>329.86599999999999</v>
      </c>
      <c r="J16" s="103">
        <v>352.05799999999999</v>
      </c>
      <c r="K16" s="103">
        <v>347.17599999999999</v>
      </c>
      <c r="L16" s="343"/>
      <c r="M16" s="13"/>
      <c r="N16" s="338"/>
      <c r="O16" s="326"/>
    </row>
    <row r="17" spans="1:15" x14ac:dyDescent="0.3">
      <c r="A17" s="13" t="s">
        <v>267</v>
      </c>
      <c r="B17" s="103">
        <v>248.262</v>
      </c>
      <c r="C17" s="103">
        <v>273.92500000000001</v>
      </c>
      <c r="D17" s="103">
        <v>256.84899999999999</v>
      </c>
      <c r="E17" s="103">
        <v>270.065</v>
      </c>
      <c r="F17" s="103">
        <v>273.04199999999997</v>
      </c>
      <c r="G17" s="103">
        <v>232.58199999999999</v>
      </c>
      <c r="H17" s="103">
        <v>239.15</v>
      </c>
      <c r="I17" s="103">
        <v>252.86699999999999</v>
      </c>
      <c r="J17" s="103">
        <v>274.20999999999998</v>
      </c>
      <c r="K17" s="103">
        <v>269.654</v>
      </c>
      <c r="L17" s="343"/>
      <c r="M17" s="13"/>
      <c r="N17" s="338"/>
      <c r="O17" s="326"/>
    </row>
    <row r="18" spans="1:15" x14ac:dyDescent="0.3">
      <c r="A18" s="13" t="s">
        <v>268</v>
      </c>
      <c r="B18" s="103">
        <v>207.47800000000001</v>
      </c>
      <c r="C18" s="103">
        <v>227.94800000000001</v>
      </c>
      <c r="D18" s="103">
        <v>207.376</v>
      </c>
      <c r="E18" s="103">
        <v>209.40199999999999</v>
      </c>
      <c r="F18" s="103">
        <v>207.81800000000001</v>
      </c>
      <c r="G18" s="103">
        <v>186.83</v>
      </c>
      <c r="H18" s="103">
        <v>195.09</v>
      </c>
      <c r="I18" s="103">
        <v>215.91399999999999</v>
      </c>
      <c r="J18" s="103">
        <v>245.226</v>
      </c>
      <c r="K18" s="103">
        <v>246.953</v>
      </c>
      <c r="L18" s="343"/>
      <c r="M18" s="13"/>
      <c r="N18" s="338"/>
      <c r="O18" s="326"/>
    </row>
    <row r="19" spans="1:15" x14ac:dyDescent="0.3">
      <c r="A19" s="13" t="s">
        <v>269</v>
      </c>
      <c r="B19" s="103">
        <v>238.74799999999999</v>
      </c>
      <c r="C19" s="103">
        <v>245.119</v>
      </c>
      <c r="D19" s="103">
        <v>216.488</v>
      </c>
      <c r="E19" s="103">
        <v>226.14400000000001</v>
      </c>
      <c r="F19" s="103">
        <v>229.995</v>
      </c>
      <c r="G19" s="103">
        <v>199.52099999999999</v>
      </c>
      <c r="H19" s="103">
        <v>206.36099999999999</v>
      </c>
      <c r="I19" s="103">
        <v>221.28</v>
      </c>
      <c r="J19" s="103">
        <v>240.90100000000001</v>
      </c>
      <c r="K19" s="103">
        <v>236.40799999999999</v>
      </c>
      <c r="L19" s="343"/>
      <c r="M19" s="13"/>
      <c r="N19" s="338"/>
      <c r="O19" s="326"/>
    </row>
    <row r="20" spans="1:15" x14ac:dyDescent="0.3">
      <c r="A20" s="13" t="s">
        <v>270</v>
      </c>
      <c r="B20" s="103">
        <v>166.22499999999999</v>
      </c>
      <c r="C20" s="103">
        <v>183.44300000000001</v>
      </c>
      <c r="D20" s="103">
        <v>171.196</v>
      </c>
      <c r="E20" s="103">
        <v>190.94800000000001</v>
      </c>
      <c r="F20" s="103">
        <v>199.62799999999999</v>
      </c>
      <c r="G20" s="103">
        <v>177.89500000000001</v>
      </c>
      <c r="H20" s="103">
        <v>188.495</v>
      </c>
      <c r="I20" s="103">
        <v>211.40700000000001</v>
      </c>
      <c r="J20" s="103">
        <v>239.55199999999999</v>
      </c>
      <c r="K20" s="103">
        <v>243.69800000000001</v>
      </c>
      <c r="L20" s="343"/>
      <c r="M20" s="13"/>
      <c r="N20" s="338"/>
      <c r="O20" s="326"/>
    </row>
    <row r="21" spans="1:15" x14ac:dyDescent="0.3">
      <c r="A21" s="13" t="s">
        <v>271</v>
      </c>
      <c r="B21" s="103">
        <v>299.91899999999998</v>
      </c>
      <c r="C21" s="103">
        <v>288.06200000000001</v>
      </c>
      <c r="D21" s="103">
        <v>245.80699999999999</v>
      </c>
      <c r="E21" s="103">
        <v>239.93700000000001</v>
      </c>
      <c r="F21" s="103">
        <v>237.40600000000001</v>
      </c>
      <c r="G21" s="103">
        <v>196.69</v>
      </c>
      <c r="H21" s="103">
        <v>195.303</v>
      </c>
      <c r="I21" s="103">
        <v>203.49299999999999</v>
      </c>
      <c r="J21" s="103">
        <v>218.23</v>
      </c>
      <c r="K21" s="103">
        <v>214.012</v>
      </c>
      <c r="L21" s="343"/>
      <c r="M21" s="13"/>
      <c r="N21" s="338"/>
      <c r="O21" s="326"/>
    </row>
    <row r="22" spans="1:15" x14ac:dyDescent="0.3">
      <c r="A22" s="13" t="s">
        <v>272</v>
      </c>
      <c r="B22" s="103">
        <v>130.923</v>
      </c>
      <c r="C22" s="103">
        <v>140.78200000000001</v>
      </c>
      <c r="D22" s="103">
        <v>127.857</v>
      </c>
      <c r="E22" s="103">
        <v>135.221</v>
      </c>
      <c r="F22" s="103">
        <v>140.083</v>
      </c>
      <c r="G22" s="103">
        <v>123.074</v>
      </c>
      <c r="H22" s="103">
        <v>126.008</v>
      </c>
      <c r="I22" s="103">
        <v>139.84399999999999</v>
      </c>
      <c r="J22" s="103">
        <v>161.18199999999999</v>
      </c>
      <c r="K22" s="103">
        <v>170.40700000000001</v>
      </c>
      <c r="L22" s="343"/>
      <c r="M22" s="13"/>
      <c r="N22" s="338"/>
      <c r="O22" s="326"/>
    </row>
    <row r="23" spans="1:15" x14ac:dyDescent="0.3">
      <c r="A23" s="13" t="s">
        <v>273</v>
      </c>
      <c r="B23" s="103">
        <v>89.668000000000006</v>
      </c>
      <c r="C23" s="103">
        <v>98.271000000000001</v>
      </c>
      <c r="D23" s="103">
        <v>93.465999999999994</v>
      </c>
      <c r="E23" s="103">
        <v>98.509</v>
      </c>
      <c r="F23" s="103">
        <v>101.10899999999999</v>
      </c>
      <c r="G23" s="103">
        <v>87.813999999999993</v>
      </c>
      <c r="H23" s="103">
        <v>89.885000000000005</v>
      </c>
      <c r="I23" s="103">
        <v>95.820999999999998</v>
      </c>
      <c r="J23" s="103">
        <v>106.57299999999999</v>
      </c>
      <c r="K23" s="103">
        <v>106.55200000000001</v>
      </c>
      <c r="L23" s="343"/>
      <c r="M23" s="13"/>
      <c r="N23" s="338"/>
      <c r="O23" s="326"/>
    </row>
    <row r="24" spans="1:15" x14ac:dyDescent="0.3">
      <c r="A24" s="13" t="s">
        <v>274</v>
      </c>
      <c r="B24" s="103">
        <v>53.311999999999998</v>
      </c>
      <c r="C24" s="103">
        <v>60.06</v>
      </c>
      <c r="D24" s="103">
        <v>56.709000000000003</v>
      </c>
      <c r="E24" s="103">
        <v>61.759</v>
      </c>
      <c r="F24" s="103">
        <v>66.209000000000003</v>
      </c>
      <c r="G24" s="103">
        <v>57.232999999999997</v>
      </c>
      <c r="H24" s="103">
        <v>58.984999999999999</v>
      </c>
      <c r="I24" s="103">
        <v>62.448999999999998</v>
      </c>
      <c r="J24" s="103">
        <v>69.552999999999997</v>
      </c>
      <c r="K24" s="103">
        <v>69.453000000000003</v>
      </c>
      <c r="L24" s="343"/>
      <c r="M24" s="13"/>
      <c r="N24" s="338"/>
      <c r="O24" s="326"/>
    </row>
    <row r="25" spans="1:15" x14ac:dyDescent="0.3">
      <c r="A25" s="13" t="s">
        <v>275</v>
      </c>
      <c r="B25" s="103">
        <v>50.610999999999997</v>
      </c>
      <c r="C25" s="103">
        <v>57.42</v>
      </c>
      <c r="D25" s="103">
        <v>53.901000000000003</v>
      </c>
      <c r="E25" s="103">
        <v>55.557000000000002</v>
      </c>
      <c r="F25" s="103">
        <v>56.814999999999998</v>
      </c>
      <c r="G25" s="103">
        <v>50.201000000000001</v>
      </c>
      <c r="H25" s="103">
        <v>53.235999999999997</v>
      </c>
      <c r="I25" s="103">
        <v>58.341999999999999</v>
      </c>
      <c r="J25" s="103">
        <v>65.197000000000003</v>
      </c>
      <c r="K25" s="103">
        <v>66.25</v>
      </c>
      <c r="L25" s="343"/>
      <c r="M25" s="13"/>
      <c r="N25" s="338"/>
      <c r="O25" s="326"/>
    </row>
    <row r="26" spans="1:15" x14ac:dyDescent="0.3">
      <c r="A26" s="13" t="s">
        <v>276</v>
      </c>
      <c r="B26" s="103">
        <v>59.866</v>
      </c>
      <c r="C26" s="103">
        <v>62.399000000000001</v>
      </c>
      <c r="D26" s="103">
        <v>56.548999999999999</v>
      </c>
      <c r="E26" s="103">
        <v>58.158000000000001</v>
      </c>
      <c r="F26" s="103">
        <v>57.683</v>
      </c>
      <c r="G26" s="103">
        <v>49.518999999999998</v>
      </c>
      <c r="H26" s="103">
        <v>51.622999999999998</v>
      </c>
      <c r="I26" s="103">
        <v>55.201000000000001</v>
      </c>
      <c r="J26" s="103">
        <v>60.805</v>
      </c>
      <c r="K26" s="103">
        <v>60.701999999999998</v>
      </c>
      <c r="L26" s="343"/>
      <c r="M26" s="13"/>
      <c r="N26" s="338"/>
      <c r="O26" s="326"/>
    </row>
    <row r="27" spans="1:15" x14ac:dyDescent="0.3">
      <c r="A27" s="13" t="s">
        <v>277</v>
      </c>
      <c r="B27" s="103">
        <v>48.103000000000002</v>
      </c>
      <c r="C27" s="103">
        <v>51.338000000000001</v>
      </c>
      <c r="D27" s="103">
        <v>46.378</v>
      </c>
      <c r="E27" s="103">
        <v>48.131</v>
      </c>
      <c r="F27" s="103">
        <v>49.969000000000001</v>
      </c>
      <c r="G27" s="103">
        <v>43.124000000000002</v>
      </c>
      <c r="H27" s="103">
        <v>44.66</v>
      </c>
      <c r="I27" s="103">
        <v>48.545000000000002</v>
      </c>
      <c r="J27" s="103">
        <v>54.058999999999997</v>
      </c>
      <c r="K27" s="103">
        <v>54.154000000000003</v>
      </c>
      <c r="L27" s="343"/>
      <c r="M27" s="13"/>
      <c r="N27" s="338"/>
      <c r="O27" s="326"/>
    </row>
    <row r="28" spans="1:15" x14ac:dyDescent="0.3">
      <c r="A28" s="13" t="s">
        <v>278</v>
      </c>
      <c r="B28" s="103">
        <v>37.200000000000003</v>
      </c>
      <c r="C28" s="103">
        <v>43.564</v>
      </c>
      <c r="D28" s="103">
        <v>42.887</v>
      </c>
      <c r="E28" s="103">
        <v>46.423000000000002</v>
      </c>
      <c r="F28" s="103">
        <v>48.631999999999998</v>
      </c>
      <c r="G28" s="103">
        <v>41.537999999999997</v>
      </c>
      <c r="H28" s="103">
        <v>42.991</v>
      </c>
      <c r="I28" s="103">
        <v>47.645000000000003</v>
      </c>
      <c r="J28" s="103">
        <v>53.302</v>
      </c>
      <c r="K28" s="103">
        <v>53.640999999999998</v>
      </c>
      <c r="L28" s="343"/>
      <c r="M28" s="13"/>
      <c r="N28" s="338"/>
      <c r="O28" s="326"/>
    </row>
    <row r="29" spans="1:15" x14ac:dyDescent="0.3">
      <c r="A29" s="13" t="s">
        <v>279</v>
      </c>
      <c r="B29" s="103">
        <v>23.809000000000001</v>
      </c>
      <c r="C29" s="103">
        <v>28.495999999999999</v>
      </c>
      <c r="D29" s="103">
        <v>28.140999999999998</v>
      </c>
      <c r="E29" s="103">
        <v>30.26</v>
      </c>
      <c r="F29" s="103">
        <v>31.385000000000002</v>
      </c>
      <c r="G29" s="103">
        <v>26.986000000000001</v>
      </c>
      <c r="H29" s="103">
        <v>27.707000000000001</v>
      </c>
      <c r="I29" s="103">
        <v>30.527999999999999</v>
      </c>
      <c r="J29" s="103">
        <v>34.881999999999998</v>
      </c>
      <c r="K29" s="103">
        <v>35.045000000000002</v>
      </c>
      <c r="L29" s="343"/>
      <c r="M29" s="13"/>
      <c r="N29" s="338"/>
      <c r="O29" s="326"/>
    </row>
    <row r="30" spans="1:15" x14ac:dyDescent="0.3">
      <c r="A30" s="13" t="s">
        <v>280</v>
      </c>
      <c r="B30" s="103">
        <v>19.536000000000001</v>
      </c>
      <c r="C30" s="103">
        <v>23.190999999999999</v>
      </c>
      <c r="D30" s="103">
        <v>23.056999999999999</v>
      </c>
      <c r="E30" s="103">
        <v>25.145</v>
      </c>
      <c r="F30" s="103">
        <v>26.658000000000001</v>
      </c>
      <c r="G30" s="103">
        <v>22.916</v>
      </c>
      <c r="H30" s="103">
        <v>23.994</v>
      </c>
      <c r="I30" s="103">
        <v>26.85</v>
      </c>
      <c r="J30" s="103">
        <v>30.760999999999999</v>
      </c>
      <c r="K30" s="103">
        <v>31.038</v>
      </c>
      <c r="L30" s="343"/>
      <c r="M30" s="13"/>
      <c r="N30" s="338"/>
      <c r="O30" s="326"/>
    </row>
    <row r="31" spans="1:15" x14ac:dyDescent="0.3">
      <c r="A31" s="13" t="s">
        <v>281</v>
      </c>
      <c r="B31" s="103">
        <v>13.683999999999999</v>
      </c>
      <c r="C31" s="103">
        <v>15.159000000000001</v>
      </c>
      <c r="D31" s="103">
        <v>14.724</v>
      </c>
      <c r="E31" s="103">
        <v>16.033999999999999</v>
      </c>
      <c r="F31" s="103">
        <v>17.757999999999999</v>
      </c>
      <c r="G31" s="103">
        <v>17.388999999999999</v>
      </c>
      <c r="H31" s="103">
        <v>20.617999999999999</v>
      </c>
      <c r="I31" s="103">
        <v>24.457000000000001</v>
      </c>
      <c r="J31" s="103">
        <v>25.965</v>
      </c>
      <c r="K31" s="103">
        <v>23.917999999999999</v>
      </c>
      <c r="L31" s="343"/>
      <c r="M31" s="13"/>
      <c r="N31" s="338"/>
      <c r="O31" s="326"/>
    </row>
    <row r="32" spans="1:15" x14ac:dyDescent="0.3">
      <c r="A32" s="13" t="s">
        <v>282</v>
      </c>
      <c r="B32" s="103">
        <v>25.608000000000001</v>
      </c>
      <c r="C32" s="103">
        <v>27.454000000000001</v>
      </c>
      <c r="D32" s="103">
        <v>25.055</v>
      </c>
      <c r="E32" s="103">
        <v>24.094000000000001</v>
      </c>
      <c r="F32" s="103">
        <v>23.401</v>
      </c>
      <c r="G32" s="103">
        <v>19.690999999999999</v>
      </c>
      <c r="H32" s="103">
        <v>20.460999999999999</v>
      </c>
      <c r="I32" s="103">
        <v>22.189</v>
      </c>
      <c r="J32" s="103">
        <v>24.492999999999999</v>
      </c>
      <c r="K32" s="103">
        <v>24.28</v>
      </c>
      <c r="L32" s="343"/>
      <c r="M32" s="13"/>
      <c r="N32" s="338"/>
      <c r="O32" s="326"/>
    </row>
    <row r="33" spans="1:15" x14ac:dyDescent="0.3">
      <c r="A33" s="13" t="s">
        <v>283</v>
      </c>
      <c r="B33" s="103">
        <v>8.7569999999999997</v>
      </c>
      <c r="C33" s="103">
        <v>9.5109999999999992</v>
      </c>
      <c r="D33" s="103">
        <v>9.2149999999999999</v>
      </c>
      <c r="E33" s="103">
        <v>10.154</v>
      </c>
      <c r="F33" s="103">
        <v>11.302</v>
      </c>
      <c r="G33" s="103">
        <v>10.701000000000001</v>
      </c>
      <c r="H33" s="103">
        <v>11.446</v>
      </c>
      <c r="I33" s="103">
        <v>12.763999999999999</v>
      </c>
      <c r="J33" s="103">
        <v>14.56</v>
      </c>
      <c r="K33" s="103">
        <v>14.859</v>
      </c>
      <c r="L33" s="343"/>
      <c r="M33" s="13"/>
      <c r="N33" s="13"/>
      <c r="O33" s="326"/>
    </row>
    <row r="34" spans="1:15" x14ac:dyDescent="0.3">
      <c r="A34" s="109" t="s">
        <v>288</v>
      </c>
      <c r="B34" s="110"/>
      <c r="C34" s="110"/>
      <c r="D34" s="110"/>
      <c r="E34" s="110"/>
      <c r="F34" s="110"/>
      <c r="G34" s="110"/>
      <c r="H34" s="110"/>
      <c r="I34" s="110"/>
      <c r="J34" s="110">
        <v>17</v>
      </c>
      <c r="K34" s="110">
        <v>17</v>
      </c>
      <c r="L34" s="344"/>
      <c r="M34" s="351"/>
      <c r="N34" s="8"/>
      <c r="O34" s="334"/>
    </row>
    <row r="35" spans="1:15" s="100" customFormat="1" x14ac:dyDescent="0.3">
      <c r="A35" s="98" t="s">
        <v>295</v>
      </c>
      <c r="B35" s="99"/>
      <c r="C35" s="99"/>
      <c r="D35" s="99"/>
      <c r="E35" s="99"/>
      <c r="F35" s="99"/>
      <c r="G35" s="99"/>
      <c r="H35" s="99"/>
      <c r="I35" s="99"/>
      <c r="J35" s="104">
        <f>SUM(J3:J34)-J9-J14</f>
        <v>18779.819000000007</v>
      </c>
      <c r="K35" s="104">
        <f>SUM(K3:K34)-K9-K14</f>
        <v>18345.918999999998</v>
      </c>
      <c r="L35" s="345">
        <f>K35/K37</f>
        <v>0.2184037976190476</v>
      </c>
      <c r="M35" s="340"/>
      <c r="N35" s="340"/>
      <c r="O35" s="347"/>
    </row>
    <row r="36" spans="1:15" s="100" customFormat="1" x14ac:dyDescent="0.3">
      <c r="A36" s="98" t="s">
        <v>285</v>
      </c>
      <c r="B36" s="99"/>
      <c r="C36" s="99"/>
      <c r="D36" s="99"/>
      <c r="E36" s="99"/>
      <c r="F36" s="99"/>
      <c r="G36" s="99"/>
      <c r="H36" s="99"/>
      <c r="I36" s="99"/>
      <c r="J36" s="104">
        <f>SUM(J3:J34)-J4-J26</f>
        <v>17029.894000000008</v>
      </c>
      <c r="K36" s="104">
        <f>SUM(K3:K34)-K4-K26</f>
        <v>16674.617999999999</v>
      </c>
      <c r="L36" s="345">
        <f>K36/K37</f>
        <v>0.19850735714285714</v>
      </c>
      <c r="M36" s="341">
        <f>L36</f>
        <v>0.19850735714285714</v>
      </c>
      <c r="N36" s="340"/>
      <c r="O36" s="347"/>
    </row>
    <row r="37" spans="1:15" x14ac:dyDescent="0.3">
      <c r="A37" s="43" t="s">
        <v>286</v>
      </c>
      <c r="J37" s="107"/>
      <c r="K37" s="108">
        <v>84000</v>
      </c>
      <c r="L37" s="346"/>
      <c r="M37" s="13"/>
      <c r="N37" s="338">
        <v>0.8</v>
      </c>
      <c r="O37" s="326"/>
    </row>
    <row r="38" spans="1:15" x14ac:dyDescent="0.3">
      <c r="O38" s="13"/>
    </row>
  </sheetData>
  <customSheetViews>
    <customSheetView guid="{4E8A5815-7803-4D13-9EE1-C2199B052AAC}" topLeftCell="A16">
      <selection activeCell="L37" sqref="L37"/>
      <pageMargins left="0.7" right="0.7" top="0.75" bottom="0.75" header="0.3" footer="0.3"/>
    </customSheetView>
  </customSheetView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
  <TotalTime>383</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Calculs énergie</vt:lpstr>
      <vt:lpstr>Info.complémentaire</vt:lpstr>
      <vt:lpstr>PIB 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Strack</dc:creator>
  <dc:description/>
  <cp:lastModifiedBy>Strack, Peter</cp:lastModifiedBy>
  <cp:revision>60</cp:revision>
  <cp:lastPrinted>2023-04-07T13:51:12Z</cp:lastPrinted>
  <dcterms:created xsi:type="dcterms:W3CDTF">2020-07-29T18:37:06Z</dcterms:created>
  <dcterms:modified xsi:type="dcterms:W3CDTF">2023-09-18T19:06:08Z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